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13_ncr:1_{1F084A09-CA63-4564-8053-6CDDBA515656}" xr6:coauthVersionLast="45" xr6:coauthVersionMax="45" xr10:uidLastSave="{00000000-0000-0000-0000-000000000000}"/>
  <bookViews>
    <workbookView xWindow="3210" yWindow="0" windowWidth="22290" windowHeight="16200" tabRatio="908" firstSheet="1" activeTab="2" xr2:uid="{00000000-000D-0000-FFFF-FFFF00000000}"/>
  </bookViews>
  <sheets>
    <sheet name="Output" sheetId="51" r:id="rId1"/>
    <sheet name="Summary" sheetId="52" r:id="rId2"/>
    <sheet name="Assumptions" sheetId="3" r:id="rId3"/>
    <sheet name="5 minute settlement" sheetId="53" r:id="rId4"/>
    <sheet name="Security of critical infr" sheetId="20" r:id="rId5"/>
    <sheet name="Demand management" sheetId="37" r:id="rId6"/>
    <sheet name="Solar enablement" sheetId="54" r:id="rId7"/>
    <sheet name="IT cloud solutions" sheetId="46" r:id="rId8"/>
    <sheet name="Increasing insurance premiums" sheetId="48" r:id="rId9"/>
  </sheets>
  <externalReferences>
    <externalReference r:id="rId10"/>
  </externalReferences>
  <definedNames>
    <definedName name="days_per_year">365.25</definedName>
    <definedName name="UE_count">Summary!$S$18</definedName>
    <definedName name="Year_of_Currency">Assumptions!$D$11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6" i="37" l="1"/>
  <c r="Q26" i="37"/>
  <c r="R26" i="37"/>
  <c r="O26" i="37"/>
  <c r="S110" i="20" l="1"/>
  <c r="N61" i="37" l="1"/>
  <c r="O61" i="37"/>
  <c r="P61" i="37"/>
  <c r="Q61" i="37"/>
  <c r="M61" i="37"/>
  <c r="R25" i="37" l="1"/>
  <c r="R28" i="37" s="1"/>
  <c r="R37" i="37"/>
  <c r="R42" i="37"/>
  <c r="P71" i="37" l="1"/>
  <c r="N63" i="37"/>
  <c r="N71" i="37" s="1"/>
  <c r="O63" i="37"/>
  <c r="O71" i="37" s="1"/>
  <c r="P63" i="37"/>
  <c r="Q63" i="37"/>
  <c r="Q71" i="37" s="1"/>
  <c r="M63" i="37"/>
  <c r="M71" i="37" s="1"/>
  <c r="M42" i="37" l="1"/>
  <c r="N42" i="37"/>
  <c r="O42" i="37"/>
  <c r="P42" i="37"/>
  <c r="L42" i="37"/>
  <c r="C44" i="37" l="1"/>
  <c r="H14" i="3"/>
  <c r="I14" i="3" s="1"/>
  <c r="G63" i="54"/>
  <c r="K18" i="48"/>
  <c r="J18" i="48"/>
  <c r="M55" i="54"/>
  <c r="M56" i="54"/>
  <c r="M61" i="54"/>
  <c r="L30" i="3"/>
  <c r="M30" i="3" s="1"/>
  <c r="N55" i="54"/>
  <c r="N56" i="54"/>
  <c r="N61" i="54"/>
  <c r="O55" i="54"/>
  <c r="O56" i="54"/>
  <c r="O61" i="54"/>
  <c r="P55" i="54"/>
  <c r="P56" i="54"/>
  <c r="P61" i="54"/>
  <c r="Q55" i="54"/>
  <c r="Q56" i="54"/>
  <c r="Q61" i="54"/>
  <c r="B67" i="54"/>
  <c r="G64" i="54"/>
  <c r="B64" i="54"/>
  <c r="F10" i="52"/>
  <c r="H10" i="52"/>
  <c r="C32" i="54"/>
  <c r="C31" i="54"/>
  <c r="S19" i="54"/>
  <c r="Q25" i="37"/>
  <c r="P25" i="37"/>
  <c r="O25" i="37"/>
  <c r="L28" i="37"/>
  <c r="M28" i="37"/>
  <c r="N28" i="37"/>
  <c r="Q42" i="37"/>
  <c r="A51" i="37"/>
  <c r="B76" i="37"/>
  <c r="B77" i="37"/>
  <c r="N27" i="3"/>
  <c r="Q27" i="3"/>
  <c r="R27" i="3"/>
  <c r="O27" i="3"/>
  <c r="P27" i="3"/>
  <c r="A2" i="37"/>
  <c r="B79" i="37" s="1"/>
  <c r="H7" i="52"/>
  <c r="A2" i="53"/>
  <c r="B18" i="53" s="1"/>
  <c r="A2" i="20"/>
  <c r="A2" i="48"/>
  <c r="B35" i="48" s="1"/>
  <c r="M22" i="48"/>
  <c r="M27" i="48" s="1"/>
  <c r="N27" i="48"/>
  <c r="O27" i="48"/>
  <c r="P27" i="48"/>
  <c r="Q27" i="48"/>
  <c r="A2" i="46"/>
  <c r="B20" i="46" s="1"/>
  <c r="Q22" i="48"/>
  <c r="P22" i="48"/>
  <c r="O22" i="48"/>
  <c r="N22" i="48"/>
  <c r="H15" i="52"/>
  <c r="H14" i="52"/>
  <c r="H13" i="52"/>
  <c r="H12" i="52"/>
  <c r="H9" i="52"/>
  <c r="H8" i="52"/>
  <c r="M3" i="52"/>
  <c r="N3" i="52"/>
  <c r="O3" i="52"/>
  <c r="P3" i="52"/>
  <c r="Q3" i="52"/>
  <c r="B78" i="37"/>
  <c r="A2" i="52"/>
  <c r="A2" i="51"/>
  <c r="G35" i="48"/>
  <c r="G17" i="46"/>
  <c r="A2" i="3"/>
  <c r="U3" i="53"/>
  <c r="S17" i="46"/>
  <c r="S18" i="53"/>
  <c r="O28" i="37" l="1"/>
  <c r="S55" i="54"/>
  <c r="C33" i="54"/>
  <c r="S61" i="54"/>
  <c r="Q28" i="37"/>
  <c r="C30" i="37" s="1"/>
  <c r="C52" i="37"/>
  <c r="P28" i="37"/>
  <c r="S56" i="54"/>
  <c r="K19" i="48"/>
  <c r="N28" i="48" s="1"/>
  <c r="N29" i="48" s="1"/>
  <c r="N35" i="48" s="1"/>
  <c r="J14" i="3"/>
  <c r="Q28" i="48"/>
  <c r="Q29" i="48" s="1"/>
  <c r="Q35" i="48" s="1"/>
  <c r="O73" i="37"/>
  <c r="F12" i="52"/>
  <c r="B17" i="46"/>
  <c r="F11" i="52"/>
  <c r="F8" i="52"/>
  <c r="F7" i="52"/>
  <c r="B110" i="20"/>
  <c r="B21" i="53"/>
  <c r="C51" i="37" l="1"/>
  <c r="C55" i="37" s="1"/>
  <c r="O28" i="48"/>
  <c r="O29" i="48" s="1"/>
  <c r="O35" i="48" s="1"/>
  <c r="M28" i="48"/>
  <c r="M29" i="48" s="1"/>
  <c r="M35" i="48" s="1"/>
  <c r="P28" i="48"/>
  <c r="P29" i="48" s="1"/>
  <c r="P35" i="48" s="1"/>
  <c r="M43" i="54"/>
  <c r="M57" i="54" s="1"/>
  <c r="Q43" i="54"/>
  <c r="Q57" i="54" s="1"/>
  <c r="Q58" i="54" s="1"/>
  <c r="Q63" i="54" s="1"/>
  <c r="O43" i="54"/>
  <c r="O57" i="54" s="1"/>
  <c r="O58" i="54" s="1"/>
  <c r="O63" i="54" s="1"/>
  <c r="P43" i="54"/>
  <c r="P57" i="54" s="1"/>
  <c r="P58" i="54" s="1"/>
  <c r="P63" i="54" s="1"/>
  <c r="N43" i="54"/>
  <c r="N57" i="54" s="1"/>
  <c r="N58" i="54" s="1"/>
  <c r="N63" i="54" s="1"/>
  <c r="P72" i="37"/>
  <c r="P73" i="37"/>
  <c r="O72" i="37"/>
  <c r="N73" i="37"/>
  <c r="Q72" i="37"/>
  <c r="P64" i="54"/>
  <c r="Q73" i="37"/>
  <c r="N72" i="37"/>
  <c r="M73" i="37"/>
  <c r="M72" i="37"/>
  <c r="Q64" i="54"/>
  <c r="H11" i="52"/>
  <c r="O11" i="52"/>
  <c r="P11" i="52"/>
  <c r="M11" i="52"/>
  <c r="Q11" i="52"/>
  <c r="N11" i="52"/>
  <c r="C53" i="37" l="1"/>
  <c r="N64" i="54"/>
  <c r="S35" i="48"/>
  <c r="S57" i="54"/>
  <c r="S58" i="54" s="1"/>
  <c r="M58" i="54"/>
  <c r="O64" i="54"/>
  <c r="S72" i="37"/>
  <c r="S71" i="37"/>
  <c r="S73" i="37"/>
  <c r="S11" i="52"/>
  <c r="M63" i="54" l="1"/>
  <c r="S63" i="54" s="1"/>
  <c r="M64" i="54"/>
  <c r="S64" i="54" l="1"/>
  <c r="O22" i="3" l="1"/>
  <c r="O29" i="3" s="1"/>
  <c r="P22" i="3"/>
  <c r="P29" i="3" s="1"/>
  <c r="Q22" i="3"/>
  <c r="Q29" i="3" s="1"/>
  <c r="R22" i="3"/>
  <c r="R29" i="3" s="1"/>
  <c r="N22" i="3"/>
  <c r="N29" i="3" s="1"/>
  <c r="N30" i="3" s="1"/>
  <c r="M21" i="53" l="1"/>
  <c r="M78" i="37"/>
  <c r="M77" i="37"/>
  <c r="O30" i="3"/>
  <c r="M76" i="37"/>
  <c r="M20" i="46"/>
  <c r="M67" i="54"/>
  <c r="M8" i="52"/>
  <c r="M10" i="52"/>
  <c r="M7" i="52"/>
  <c r="M12" i="52"/>
  <c r="N77" i="37" l="1"/>
  <c r="N21" i="53"/>
  <c r="N78" i="37"/>
  <c r="N20" i="46"/>
  <c r="P30" i="3"/>
  <c r="N67" i="54"/>
  <c r="N76" i="37"/>
  <c r="M79" i="37"/>
  <c r="M9" i="52"/>
  <c r="N12" i="52"/>
  <c r="N10" i="52"/>
  <c r="N7" i="52"/>
  <c r="N8" i="52"/>
  <c r="M16" i="52" l="1"/>
  <c r="O67" i="54"/>
  <c r="O77" i="37"/>
  <c r="O76" i="37"/>
  <c r="O20" i="46"/>
  <c r="O78" i="37"/>
  <c r="O21" i="53"/>
  <c r="Q30" i="3"/>
  <c r="N79" i="37"/>
  <c r="O8" i="52"/>
  <c r="O10" i="52"/>
  <c r="O12" i="52"/>
  <c r="O7" i="52"/>
  <c r="N9" i="52"/>
  <c r="N16" i="52" l="1"/>
  <c r="O79" i="37"/>
  <c r="P77" i="37"/>
  <c r="P67" i="54"/>
  <c r="P20" i="46"/>
  <c r="P76" i="37"/>
  <c r="P78" i="37"/>
  <c r="R30" i="3"/>
  <c r="P21" i="53"/>
  <c r="P8" i="52"/>
  <c r="P7" i="52"/>
  <c r="P10" i="52"/>
  <c r="P12" i="52"/>
  <c r="O9" i="52"/>
  <c r="P79" i="37" l="1"/>
  <c r="O16" i="52"/>
  <c r="Q77" i="37"/>
  <c r="S77" i="37" s="1"/>
  <c r="Q20" i="46"/>
  <c r="Q76" i="37"/>
  <c r="Q78" i="37"/>
  <c r="S78" i="37" s="1"/>
  <c r="Q21" i="53"/>
  <c r="S21" i="53" s="1"/>
  <c r="Q67" i="54"/>
  <c r="Q10" i="52"/>
  <c r="Q12" i="52"/>
  <c r="P9" i="52"/>
  <c r="Q8" i="52"/>
  <c r="Q7" i="52"/>
  <c r="P16" i="52" l="1"/>
  <c r="S12" i="52"/>
  <c r="S7" i="52"/>
  <c r="S8" i="52"/>
  <c r="S10" i="52"/>
  <c r="S67" i="54"/>
  <c r="Q79" i="37"/>
  <c r="S76" i="37"/>
  <c r="S20" i="46"/>
  <c r="Q9" i="52"/>
  <c r="S9" i="52" l="1"/>
  <c r="C9" i="52" s="1"/>
  <c r="Q16" i="52"/>
  <c r="S79" i="37"/>
  <c r="C7" i="52" l="1"/>
  <c r="S17" i="52"/>
  <c r="S18" i="52" s="1"/>
  <c r="A8" i="51" s="1"/>
  <c r="A9" i="51" s="1"/>
  <c r="C12" i="52"/>
  <c r="C10" i="52"/>
  <c r="C11" i="52"/>
  <c r="C8" i="52"/>
  <c r="S16" i="52"/>
  <c r="O7" i="51" l="1"/>
  <c r="Q7" i="51"/>
  <c r="O8" i="51"/>
  <c r="N7" i="51"/>
  <c r="B7" i="51"/>
  <c r="P7" i="51"/>
  <c r="P8" i="51"/>
  <c r="M7" i="51"/>
  <c r="Q8" i="51"/>
  <c r="M8" i="51"/>
  <c r="N8" i="51"/>
  <c r="B8" i="51"/>
  <c r="N9" i="51"/>
  <c r="B9" i="51"/>
  <c r="Q9" i="51"/>
  <c r="A10" i="51"/>
  <c r="P9" i="51"/>
  <c r="O9" i="51"/>
  <c r="M9" i="51"/>
  <c r="S7" i="51" l="1"/>
  <c r="S8" i="51"/>
  <c r="N10" i="51"/>
  <c r="O10" i="51"/>
  <c r="B10" i="51"/>
  <c r="Q10" i="51"/>
  <c r="A11" i="51"/>
  <c r="M10" i="51"/>
  <c r="P10" i="51"/>
  <c r="S9" i="51"/>
  <c r="S10" i="51" l="1"/>
  <c r="O11" i="51"/>
  <c r="P11" i="51"/>
  <c r="Q11" i="51"/>
  <c r="A12" i="51"/>
  <c r="N11" i="51"/>
  <c r="M11" i="51"/>
  <c r="B11" i="51"/>
  <c r="A13" i="51" l="1"/>
  <c r="Q12" i="51"/>
  <c r="P12" i="51"/>
  <c r="B12" i="51"/>
  <c r="N12" i="51"/>
  <c r="O12" i="51"/>
  <c r="M12" i="51"/>
  <c r="S11" i="51"/>
  <c r="S12" i="51" l="1"/>
  <c r="B13" i="51"/>
  <c r="M13" i="51"/>
  <c r="P13" i="51"/>
  <c r="A14" i="51"/>
  <c r="Q13" i="51"/>
  <c r="N13" i="51"/>
  <c r="O13" i="51"/>
  <c r="P14" i="51" l="1"/>
  <c r="A15" i="51"/>
  <c r="Q14" i="51"/>
  <c r="N14" i="51"/>
  <c r="O14" i="51"/>
  <c r="M14" i="51"/>
  <c r="B14" i="51"/>
  <c r="S13" i="51"/>
  <c r="S14" i="51" l="1"/>
  <c r="B15" i="51"/>
  <c r="M15" i="51"/>
  <c r="Q15" i="51"/>
  <c r="A16" i="51"/>
  <c r="D2" i="51" s="1"/>
  <c r="P15" i="51"/>
  <c r="O15" i="51"/>
  <c r="N15" i="51"/>
  <c r="S15" i="51" l="1"/>
  <c r="B16" i="51"/>
  <c r="O16" i="51"/>
  <c r="N16" i="51"/>
  <c r="Q16" i="51"/>
  <c r="P16" i="51"/>
  <c r="M16" i="51"/>
  <c r="N20" i="51" l="1"/>
  <c r="O20" i="51"/>
  <c r="P20" i="51"/>
  <c r="Q20" i="51"/>
  <c r="S16" i="51"/>
  <c r="M20" i="51"/>
  <c r="S20" i="51" l="1"/>
</calcChain>
</file>

<file path=xl/sharedStrings.xml><?xml version="1.0" encoding="utf-8"?>
<sst xmlns="http://schemas.openxmlformats.org/spreadsheetml/2006/main" count="305" uniqueCount="131">
  <si>
    <t>Opex Step Changes</t>
  </si>
  <si>
    <t>Inflation</t>
  </si>
  <si>
    <t>General assumptions</t>
  </si>
  <si>
    <t>Total</t>
  </si>
  <si>
    <t>$'000</t>
  </si>
  <si>
    <t>Calculations</t>
  </si>
  <si>
    <t>Check</t>
  </si>
  <si>
    <t>Escalation year</t>
  </si>
  <si>
    <t>Step change</t>
  </si>
  <si>
    <t>Year of currency for inputs</t>
  </si>
  <si>
    <t>2021 - 2025</t>
  </si>
  <si>
    <t>Security of critical infrastructure</t>
  </si>
  <si>
    <t>The indentified need</t>
  </si>
  <si>
    <t>Reported Dollars for 2021-26</t>
  </si>
  <si>
    <t>2019/20</t>
  </si>
  <si>
    <t>2020/21</t>
  </si>
  <si>
    <t>2021/22</t>
  </si>
  <si>
    <t>2022/23</t>
  </si>
  <si>
    <t>2023/24</t>
  </si>
  <si>
    <t>2024/25</t>
  </si>
  <si>
    <t>2025/26</t>
  </si>
  <si>
    <t>Assumptions</t>
  </si>
  <si>
    <t>5 minute settlement</t>
  </si>
  <si>
    <t>IT cloud solutions</t>
  </si>
  <si>
    <t>Labour</t>
  </si>
  <si>
    <t>Non Labour</t>
  </si>
  <si>
    <t>Annual</t>
  </si>
  <si>
    <t>Cumulative</t>
  </si>
  <si>
    <t>United Energy</t>
  </si>
  <si>
    <t>HV feeder demand management</t>
  </si>
  <si>
    <t>Cranbourne terminal station with AusNet</t>
  </si>
  <si>
    <t>Solar enablement</t>
  </si>
  <si>
    <t>2018/19</t>
  </si>
  <si>
    <t>Lower Mornington Peninsula</t>
  </si>
  <si>
    <t>Source</t>
  </si>
  <si>
    <t>Effect on opex and capex</t>
  </si>
  <si>
    <t>The step change will result in an increase in IT-related operating expenditure incremental to the base year, increasing total operating expenditure</t>
  </si>
  <si>
    <t>The step change will have no affect on capital expenditure</t>
  </si>
  <si>
    <t>The step change will result in an increase in demand management operating expenditure incremental to the base year, increasing total operating expenditure</t>
  </si>
  <si>
    <t>The step change is in addition to the capital expenditure related to 5-minute settlement</t>
  </si>
  <si>
    <t>The step change will result in an increase in insurance premiums operating expenditure incremental to the base year, increasing total operating expenditure</t>
  </si>
  <si>
    <t>The step change does not impact capital expenditure</t>
  </si>
  <si>
    <t>Bushfire insurance premiums</t>
  </si>
  <si>
    <t>Summary</t>
  </si>
  <si>
    <r>
      <t>2021</t>
    </r>
    <r>
      <rPr>
        <b/>
        <sz val="10"/>
        <color theme="1"/>
        <rFont val="Verdana"/>
        <family val="2"/>
      </rPr>
      <t>−</t>
    </r>
    <r>
      <rPr>
        <b/>
        <sz val="10"/>
        <color theme="1"/>
        <rFont val="Calibri"/>
        <family val="2"/>
        <scheme val="minor"/>
      </rPr>
      <t>2026</t>
    </r>
  </si>
  <si>
    <t>With real escalation</t>
  </si>
  <si>
    <t>Incremental cost</t>
  </si>
  <si>
    <t>The identified need</t>
  </si>
  <si>
    <t>year ending September</t>
  </si>
  <si>
    <t xml:space="preserve"> Less 2019 base year cost</t>
  </si>
  <si>
    <t>$k $2020/21</t>
  </si>
  <si>
    <t>Input</t>
  </si>
  <si>
    <t>Ranking</t>
  </si>
  <si>
    <t>Sheet Name</t>
  </si>
  <si>
    <t xml:space="preserve">Total </t>
  </si>
  <si>
    <t>Demand management</t>
  </si>
  <si>
    <t>The step change will result in an increase in IT and corporate services operating expenditure incremental to the base year, increasing total operating expenditure.</t>
  </si>
  <si>
    <t>Year</t>
  </si>
  <si>
    <t>Recurrent in nature, starting 2021/22</t>
  </si>
  <si>
    <t>The step change will result in an efficient trade-off between operating expenditure and capital expenditure, with a reduction in IT infrastructure capital expenditure.</t>
  </si>
  <si>
    <t>The step change will result in an efficient trade-off between operating expenditure and capital expenditure, reducing network augmentation capital expenditure.</t>
  </si>
  <si>
    <t>Demand management programs</t>
  </si>
  <si>
    <t>$k nominal</t>
  </si>
  <si>
    <t>Current costs</t>
  </si>
  <si>
    <t>AER draft decision</t>
  </si>
  <si>
    <t>Labour (Average of DAE and BIS Oxford)</t>
  </si>
  <si>
    <t>Weightings</t>
  </si>
  <si>
    <t>Price change</t>
  </si>
  <si>
    <t>Recommended option:</t>
  </si>
  <si>
    <t>(Cost)/Benefit from deferred capex with demand management</t>
  </si>
  <si>
    <t>2. Deferred capex with demand management</t>
  </si>
  <si>
    <t>NPV</t>
  </si>
  <si>
    <t>RECOMMENDED OPTION</t>
  </si>
  <si>
    <t>NPV of deferred capex with demand management</t>
  </si>
  <si>
    <t>Total cost</t>
  </si>
  <si>
    <t>Residual Risk</t>
  </si>
  <si>
    <t>O&amp;M</t>
  </si>
  <si>
    <t>Annualised Capex</t>
  </si>
  <si>
    <t>Deferred capital cost</t>
  </si>
  <si>
    <t>2026/27</t>
  </si>
  <si>
    <t>NPV of capex without demand management</t>
  </si>
  <si>
    <t>1. Capex without demand management</t>
  </si>
  <si>
    <t>Asset Life</t>
  </si>
  <si>
    <t>Real WACC</t>
  </si>
  <si>
    <t>Cost of capex</t>
  </si>
  <si>
    <t>Cost ($2019)</t>
  </si>
  <si>
    <t>Tap cost</t>
  </si>
  <si>
    <t>Number of transformers tapped</t>
  </si>
  <si>
    <t>Tapping opex</t>
  </si>
  <si>
    <t>Compliance opex</t>
  </si>
  <si>
    <t>Current non compliance (2019 customer numbers)</t>
  </si>
  <si>
    <t xml:space="preserve">Greater that 1A export not conigured </t>
  </si>
  <si>
    <t xml:space="preserve">kW export greater than registered </t>
  </si>
  <si>
    <t>kW export greater than inverster size for 81+ summer days</t>
  </si>
  <si>
    <t>Solar customer numbers (2019)</t>
  </si>
  <si>
    <t>PAL</t>
  </si>
  <si>
    <t>CP</t>
  </si>
  <si>
    <t>Subtotal customer numbers</t>
  </si>
  <si>
    <t>Non-compliant</t>
  </si>
  <si>
    <t>Non-compliant %</t>
  </si>
  <si>
    <t>Forecast non-compliance</t>
  </si>
  <si>
    <t>Customer numbers</t>
  </si>
  <si>
    <t>Compliance and Monitoring - UE ($ 2019)</t>
  </si>
  <si>
    <t>FTE cost pa (inc on-costs and overheads)</t>
  </si>
  <si>
    <t>FTE per hr</t>
  </si>
  <si>
    <t>FTEs</t>
  </si>
  <si>
    <t>Implementation FTEs</t>
  </si>
  <si>
    <t>Maintenance FTEs</t>
  </si>
  <si>
    <t xml:space="preserve">Implementation </t>
  </si>
  <si>
    <t>Maintenance</t>
  </si>
  <si>
    <t>Adressing non-compliances</t>
  </si>
  <si>
    <t>Non-compliance</t>
  </si>
  <si>
    <t>Total compliance opex</t>
  </si>
  <si>
    <t>Real price change</t>
  </si>
  <si>
    <t>year ending June</t>
  </si>
  <si>
    <t>Cost for 2019 calendar year</t>
  </si>
  <si>
    <t>Cumulative from nominal to $ June 2021</t>
  </si>
  <si>
    <t>Total opex</t>
  </si>
  <si>
    <t>UE Back of House</t>
  </si>
  <si>
    <t>Opex</t>
  </si>
  <si>
    <t>Annual cost of demand management</t>
  </si>
  <si>
    <t>Draft determination</t>
  </si>
  <si>
    <t>RRP change</t>
  </si>
  <si>
    <t>Base year demand management costs</t>
  </si>
  <si>
    <t>$k 2020/21</t>
  </si>
  <si>
    <t>Step change for Lower Mornington</t>
  </si>
  <si>
    <t>Step change for HV feeder demand management</t>
  </si>
  <si>
    <t>Step change for Cranbourne terminal station with AusNet</t>
  </si>
  <si>
    <t>VPN &amp; UE contract cost</t>
  </si>
  <si>
    <t>Annual O&amp;M as percentage of capex</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</si>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</sst>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1" formatCode="_-* #,##0_-;\-* #,##0_-;_-* &quot;-&quot;_-;_-@_-"/>
    <numFmt numFmtId="43" formatCode="_-* #,##0.00_-;\-* #,##0.00_-;_-* &quot;-&quot;??_-;_-@_-"/>
    <numFmt numFmtId="164" formatCode="0.0000"/>
    <numFmt numFmtId="165" formatCode="#,##0;[Red]\(#,##0\);&quot;-&quot;"/>
    <numFmt numFmtId="166" formatCode="#,##0;\(#,##0\);&quot;-&quot;"/>
    <numFmt numFmtId="167" formatCode="#,##0.0000;\(#,##0.0000\);&quot;-&quot;"/>
    <numFmt numFmtId="168" formatCode="0.000"/>
    <numFmt numFmtId="169" formatCode="_-* #,##0_-;\-* #,##0_-;_-* &quot;-&quot;??_-;_-@_-"/>
    <numFmt numFmtId="170" formatCode="&quot;$k $&quot;#"/>
    <numFmt numFmtId="171" formatCode="&quot;$&quot;#,##0;[Red]\-&quot;$&quot;#,##0;\ &quot;-&quot;"/>
    <numFmt numFmtId="172" formatCode="_-&quot;$&quot;* #,##0.0_-;\-&quot;$&quot;* #,##0.0_-;_-&quot;$&quot;* &quot;-&quot;?_-;_-@_-"/>
    <numFmt numFmtId="173" formatCode="#,##0;[Red]\-#,##0;\ &quot;-&quot;"/>
    <numFmt numFmtId="174" formatCode="0.0"/>
    <numFmt numFmtId="175" formatCode="#,##0.0000000;\(#,##0.0000000\);&quot;-&quot;"/>
    <numFmt numFmtId="176" formatCode="0.0%"/>
    <numFmt numFmtId="177" formatCode="#,##0.0"/>
    <numFmt numFmtId="178" formatCode="_-* #,##0.0_-;\-* #,##0.0_-;_-* &quot;-&quot;??_-;_-@_-"/>
    <numFmt numFmtId="179" formatCode="_-* #,##0;\-* #,##0;_-* &quot;-&quot;??_-;_-@"/>
    <numFmt numFmtId="180" formatCode="&quot;$k &quot;#"/>
    <numFmt numFmtId="181" formatCode="&quot;$&quot;#.0"/>
  </numFmts>
  <fonts count="38" x14ac:knownFonts="1">
    <font>
      <sz val="10"/>
      <color theme="1"/>
      <name val="Verdana"/>
      <family val="2"/>
    </font>
    <font>
      <sz val="10"/>
      <color theme="1"/>
      <name val="Verdana"/>
      <family val="2"/>
    </font>
    <font>
      <b/>
      <sz val="10"/>
      <color theme="1"/>
      <name val="Calibri"/>
      <family val="2"/>
    </font>
    <font>
      <sz val="10"/>
      <color theme="1"/>
      <name val="Calibri"/>
      <family val="2"/>
      <scheme val="minor"/>
    </font>
    <font>
      <b/>
      <sz val="10"/>
      <color theme="1"/>
      <name val="Calibri"/>
      <family val="2"/>
      <scheme val="minor"/>
    </font>
    <font>
      <b/>
      <sz val="16"/>
      <color theme="1"/>
      <name val="Calibri"/>
      <family val="2"/>
      <scheme val="minor"/>
    </font>
    <font>
      <sz val="10"/>
      <name val="Calibri"/>
      <family val="2"/>
      <scheme val="minor"/>
    </font>
    <font>
      <i/>
      <sz val="9"/>
      <color theme="1"/>
      <name val="Calibri"/>
      <family val="2"/>
      <scheme val="minor"/>
    </font>
    <font>
      <i/>
      <sz val="14"/>
      <name val="Calibri"/>
      <family val="2"/>
    </font>
    <font>
      <sz val="10"/>
      <color theme="1"/>
      <name val="Calibri"/>
      <family val="2"/>
    </font>
    <font>
      <sz val="10"/>
      <color theme="1"/>
      <name val="Wingdings 2"/>
      <family val="1"/>
      <charset val="2"/>
    </font>
    <font>
      <i/>
      <sz val="10"/>
      <color theme="0" tint="-0.34998626667073579"/>
      <name val="Calibri"/>
      <family val="2"/>
      <scheme val="minor"/>
    </font>
    <font>
      <b/>
      <sz val="10"/>
      <name val="Calibri"/>
      <family val="2"/>
      <scheme val="minor"/>
    </font>
    <font>
      <b/>
      <sz val="16"/>
      <color indexed="9"/>
      <name val="Arial"/>
      <family val="2"/>
    </font>
    <font>
      <b/>
      <sz val="12"/>
      <color theme="0"/>
      <name val="Arial"/>
      <family val="2"/>
    </font>
    <font>
      <i/>
      <sz val="9"/>
      <name val="Calibri"/>
      <family val="2"/>
      <scheme val="minor"/>
    </font>
    <font>
      <b/>
      <i/>
      <sz val="9"/>
      <color theme="1"/>
      <name val="Calibri"/>
      <family val="2"/>
      <scheme val="minor"/>
    </font>
    <font>
      <i/>
      <sz val="10"/>
      <color theme="1"/>
      <name val="Calibri"/>
      <family val="2"/>
      <scheme val="minor"/>
    </font>
    <font>
      <sz val="10"/>
      <color rgb="FF0000FF"/>
      <name val="Calibri"/>
      <family val="2"/>
      <scheme val="minor"/>
    </font>
    <font>
      <b/>
      <sz val="10"/>
      <color rgb="FFFF0000"/>
      <name val="Calibri"/>
      <family val="2"/>
      <scheme val="minor"/>
    </font>
    <font>
      <b/>
      <sz val="10"/>
      <color rgb="FF000000"/>
      <name val="Calibri"/>
      <family val="2"/>
    </font>
    <font>
      <sz val="10"/>
      <color rgb="FF000000"/>
      <name val="Calibri"/>
      <family val="2"/>
    </font>
    <font>
      <sz val="9"/>
      <color theme="1"/>
      <name val="Calibri"/>
      <family val="2"/>
      <scheme val="minor"/>
    </font>
    <font>
      <b/>
      <sz val="10"/>
      <color theme="1"/>
      <name val="Verdana"/>
      <family val="2"/>
    </font>
    <font>
      <b/>
      <i/>
      <sz val="10"/>
      <color theme="1"/>
      <name val="Calibri"/>
      <family val="2"/>
      <scheme val="minor"/>
    </font>
    <font>
      <sz val="8"/>
      <color theme="1" tint="0.499984740745262"/>
      <name val="Calibri"/>
      <family val="2"/>
      <scheme val="minor"/>
    </font>
    <font>
      <sz val="10"/>
      <color theme="1" tint="0.499984740745262"/>
      <name val="Calibri"/>
      <family val="2"/>
      <scheme val="minor"/>
    </font>
    <font>
      <b/>
      <sz val="9"/>
      <color theme="1"/>
      <name val="Calibri"/>
      <family val="2"/>
      <scheme val="minor"/>
    </font>
    <font>
      <sz val="10"/>
      <color theme="3"/>
      <name val="Arial"/>
      <family val="2"/>
    </font>
    <font>
      <sz val="10"/>
      <color theme="3" tint="-0.499984740745262"/>
      <name val="Calibri"/>
      <family val="2"/>
      <scheme val="minor"/>
    </font>
    <font>
      <sz val="10"/>
      <color rgb="FF00B050"/>
      <name val="Calibri"/>
      <family val="2"/>
      <scheme val="minor"/>
    </font>
    <font>
      <sz val="10"/>
      <color rgb="FFFF0000"/>
      <name val="Calibri"/>
      <family val="2"/>
      <scheme val="minor"/>
    </font>
    <font>
      <sz val="9"/>
      <color theme="1" tint="0.499984740745262"/>
      <name val="Calibri"/>
      <family val="2"/>
      <scheme val="minor"/>
    </font>
    <font>
      <i/>
      <sz val="10"/>
      <color theme="1" tint="0.499984740745262"/>
      <name val="Calibri"/>
      <family val="2"/>
      <scheme val="minor"/>
    </font>
    <font>
      <b/>
      <sz val="10"/>
      <color rgb="FF00B050"/>
      <name val="Calibri"/>
      <family val="2"/>
      <scheme val="minor"/>
    </font>
    <font>
      <b/>
      <sz val="8"/>
      <color theme="1" tint="0.499984740745262"/>
      <name val="Calibri"/>
      <family val="2"/>
      <scheme val="minor"/>
    </font>
    <font>
      <b/>
      <u/>
      <sz val="10"/>
      <color theme="1"/>
      <name val="Calibri"/>
      <family val="2"/>
      <scheme val="minor"/>
    </font>
    <font>
      <i/>
      <sz val="10"/>
      <name val="Calibri"/>
      <family val="2"/>
      <scheme val="minor"/>
    </font>
  </fonts>
  <fills count="1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65"/>
        <bgColor theme="0"/>
      </patternFill>
    </fill>
    <fill>
      <patternFill patternType="solid">
        <fgColor rgb="FFFFFFCC"/>
        <bgColor theme="0"/>
      </patternFill>
    </fill>
    <fill>
      <patternFill patternType="solid">
        <fgColor theme="0"/>
        <bgColor theme="0"/>
      </patternFill>
    </fill>
    <fill>
      <patternFill patternType="solid">
        <fgColor theme="0" tint="-4.9989318521683403E-2"/>
        <bgColor indexed="64"/>
      </patternFill>
    </fill>
    <fill>
      <patternFill patternType="solid">
        <fgColor rgb="FF00FF00"/>
        <bgColor indexed="64"/>
      </patternFill>
    </fill>
    <fill>
      <patternFill patternType="solid">
        <fgColor rgb="FFFFFF00"/>
        <bgColor indexed="64"/>
      </patternFill>
    </fill>
    <fill>
      <patternFill patternType="solid">
        <fgColor rgb="FF00FFFF"/>
        <bgColor indexed="64"/>
      </patternFill>
    </fill>
    <fill>
      <patternFill patternType="solid">
        <fgColor rgb="FF00FF00"/>
        <bgColor theme="0"/>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auto="1"/>
      </top>
      <bottom style="medium">
        <color auto="1"/>
      </bottom>
      <diagonal/>
    </border>
    <border>
      <left/>
      <right/>
      <top style="hair">
        <color indexed="64"/>
      </top>
      <bottom/>
      <diagonal/>
    </border>
    <border>
      <left/>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auto="1"/>
      </left>
      <right style="hair">
        <color auto="1"/>
      </right>
      <top style="hair">
        <color auto="1"/>
      </top>
      <bottom style="hair">
        <color auto="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6" borderId="0">
      <alignment horizontal="left" vertical="center"/>
      <protection locked="0"/>
    </xf>
    <xf numFmtId="0" fontId="14" fillId="5" borderId="3">
      <alignment vertical="center"/>
    </xf>
    <xf numFmtId="0" fontId="28" fillId="3" borderId="6" applyNumberFormat="0" applyAlignment="0">
      <alignment horizontal="right"/>
      <protection locked="0"/>
    </xf>
    <xf numFmtId="0" fontId="1" fillId="0" borderId="0"/>
  </cellStyleXfs>
  <cellXfs count="236">
    <xf numFmtId="0" fontId="0" fillId="0" borderId="0" xfId="0"/>
    <xf numFmtId="0" fontId="3" fillId="0" borderId="0" xfId="0" applyFont="1"/>
    <xf numFmtId="0" fontId="4" fillId="2" borderId="1" xfId="0" applyFont="1" applyFill="1" applyBorder="1"/>
    <xf numFmtId="0" fontId="5" fillId="0" borderId="0" xfId="0" applyFont="1"/>
    <xf numFmtId="0" fontId="4" fillId="0" borderId="0" xfId="0" applyFont="1"/>
    <xf numFmtId="6" fontId="7" fillId="0" borderId="0" xfId="0" applyNumberFormat="1" applyFont="1" applyAlignment="1">
      <alignment horizontal="right"/>
    </xf>
    <xf numFmtId="0" fontId="4" fillId="2" borderId="1" xfId="0" applyFont="1" applyFill="1" applyBorder="1" applyAlignment="1">
      <alignment horizontal="right"/>
    </xf>
    <xf numFmtId="0" fontId="8" fillId="0" borderId="0" xfId="0" applyFont="1"/>
    <xf numFmtId="166" fontId="3" fillId="0" borderId="0" xfId="0" applyNumberFormat="1" applyFont="1"/>
    <xf numFmtId="166" fontId="4" fillId="0" borderId="0" xfId="0" applyNumberFormat="1" applyFont="1"/>
    <xf numFmtId="0" fontId="4" fillId="0" borderId="0" xfId="0" applyFont="1" applyFill="1" applyBorder="1"/>
    <xf numFmtId="0" fontId="4" fillId="0" borderId="0" xfId="0" applyFont="1" applyFill="1" applyBorder="1" applyAlignment="1">
      <alignment horizontal="right"/>
    </xf>
    <xf numFmtId="0" fontId="3" fillId="0" borderId="0" xfId="0" applyFont="1" applyFill="1"/>
    <xf numFmtId="10" fontId="3" fillId="0" borderId="0" xfId="2" applyNumberFormat="1" applyFont="1" applyFill="1"/>
    <xf numFmtId="167" fontId="3" fillId="0" borderId="0" xfId="0" applyNumberFormat="1" applyFont="1"/>
    <xf numFmtId="9" fontId="3" fillId="0" borderId="0" xfId="2" applyNumberFormat="1" applyFont="1"/>
    <xf numFmtId="0" fontId="2" fillId="0" borderId="0" xfId="0" applyFont="1" applyFill="1" applyBorder="1"/>
    <xf numFmtId="0" fontId="9" fillId="0" borderId="0" xfId="0" applyFont="1" applyFill="1" applyBorder="1"/>
    <xf numFmtId="168" fontId="3" fillId="0" borderId="0" xfId="0" applyNumberFormat="1" applyFont="1" applyFill="1" applyBorder="1"/>
    <xf numFmtId="166" fontId="3" fillId="0" borderId="2" xfId="0" applyNumberFormat="1" applyFont="1" applyBorder="1"/>
    <xf numFmtId="166" fontId="4" fillId="0" borderId="2" xfId="0" applyNumberFormat="1" applyFont="1" applyBorder="1"/>
    <xf numFmtId="0" fontId="10" fillId="0" borderId="0" xfId="0" applyFont="1" applyAlignment="1">
      <alignment horizontal="center" vertical="center"/>
    </xf>
    <xf numFmtId="0" fontId="11" fillId="0" borderId="0" xfId="0" applyFont="1"/>
    <xf numFmtId="165" fontId="3" fillId="0" borderId="0" xfId="0" applyNumberFormat="1" applyFont="1"/>
    <xf numFmtId="169" fontId="3" fillId="0" borderId="0" xfId="1" applyNumberFormat="1" applyFont="1"/>
    <xf numFmtId="170" fontId="15" fillId="3" borderId="0" xfId="0" applyNumberFormat="1" applyFont="1" applyFill="1"/>
    <xf numFmtId="170" fontId="15" fillId="0" borderId="0" xfId="0" applyNumberFormat="1" applyFont="1" applyFill="1"/>
    <xf numFmtId="0" fontId="3" fillId="4" borderId="0" xfId="0" applyFont="1" applyFill="1"/>
    <xf numFmtId="10" fontId="3" fillId="4" borderId="0" xfId="2" applyNumberFormat="1" applyFont="1" applyFill="1"/>
    <xf numFmtId="166" fontId="3" fillId="0" borderId="0" xfId="0" applyNumberFormat="1" applyFont="1" applyFill="1"/>
    <xf numFmtId="0" fontId="3" fillId="0" borderId="0" xfId="0" applyFont="1" applyAlignment="1">
      <alignment wrapText="1"/>
    </xf>
    <xf numFmtId="0" fontId="4" fillId="0" borderId="0" xfId="0" applyFont="1" applyAlignment="1">
      <alignment horizontal="right"/>
    </xf>
    <xf numFmtId="0" fontId="19" fillId="0" borderId="0" xfId="0" applyFont="1"/>
    <xf numFmtId="43" fontId="3" fillId="0" borderId="0" xfId="0" applyNumberFormat="1" applyFont="1"/>
    <xf numFmtId="172" fontId="3" fillId="0" borderId="0" xfId="0" applyNumberFormat="1" applyFont="1"/>
    <xf numFmtId="0" fontId="17" fillId="0" borderId="0" xfId="0" applyFont="1"/>
    <xf numFmtId="0" fontId="5" fillId="7" borderId="0" xfId="0" applyFont="1" applyFill="1"/>
    <xf numFmtId="0" fontId="3" fillId="7" borderId="0" xfId="0" applyFont="1" applyFill="1"/>
    <xf numFmtId="0" fontId="8" fillId="7" borderId="0" xfId="0" applyFont="1" applyFill="1"/>
    <xf numFmtId="0" fontId="4" fillId="7" borderId="0" xfId="0" applyFont="1" applyFill="1" applyAlignment="1">
      <alignment horizontal="right"/>
    </xf>
    <xf numFmtId="166" fontId="3" fillId="7" borderId="0" xfId="0" applyNumberFormat="1" applyFont="1" applyFill="1"/>
    <xf numFmtId="169" fontId="3" fillId="7" borderId="0" xfId="1" applyNumberFormat="1" applyFont="1" applyFill="1"/>
    <xf numFmtId="0" fontId="3" fillId="7" borderId="0" xfId="0" applyFont="1" applyFill="1" applyAlignment="1">
      <alignment horizontal="right"/>
    </xf>
    <xf numFmtId="0" fontId="3" fillId="4" borderId="0" xfId="0" applyFont="1" applyFill="1" applyAlignment="1">
      <alignment wrapText="1"/>
    </xf>
    <xf numFmtId="0" fontId="4" fillId="2" borderId="1" xfId="0" applyFont="1" applyFill="1" applyBorder="1" applyAlignment="1">
      <alignment horizontal="left"/>
    </xf>
    <xf numFmtId="165" fontId="6" fillId="4" borderId="0" xfId="0" applyNumberFormat="1" applyFont="1" applyFill="1"/>
    <xf numFmtId="0" fontId="20" fillId="0" borderId="0" xfId="0" applyFont="1" applyAlignment="1">
      <alignment vertical="center"/>
    </xf>
    <xf numFmtId="0" fontId="21" fillId="0" borderId="0" xfId="0" applyFont="1" applyAlignment="1">
      <alignment vertical="center"/>
    </xf>
    <xf numFmtId="0" fontId="21" fillId="4" borderId="0" xfId="0" applyFont="1" applyFill="1" applyAlignment="1">
      <alignment vertical="center"/>
    </xf>
    <xf numFmtId="0" fontId="3" fillId="9" borderId="0" xfId="0" applyFont="1" applyFill="1"/>
    <xf numFmtId="0" fontId="3"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4" fillId="0" borderId="0" xfId="0" applyFont="1" applyFill="1" applyBorder="1" applyAlignment="1">
      <alignment horizontal="left"/>
    </xf>
    <xf numFmtId="0" fontId="3" fillId="0" borderId="0" xfId="0" applyFont="1" applyAlignment="1">
      <alignment horizontal="center"/>
    </xf>
    <xf numFmtId="171" fontId="3" fillId="0" borderId="4" xfId="0" applyNumberFormat="1" applyFont="1" applyBorder="1"/>
    <xf numFmtId="171" fontId="17" fillId="0" borderId="4" xfId="0" applyNumberFormat="1" applyFont="1" applyBorder="1" applyAlignment="1">
      <alignment horizontal="left"/>
    </xf>
    <xf numFmtId="171" fontId="3" fillId="0" borderId="4" xfId="0" applyNumberFormat="1" applyFont="1" applyBorder="1" applyAlignment="1">
      <alignment horizontal="left"/>
    </xf>
    <xf numFmtId="173" fontId="3" fillId="0" borderId="4" xfId="0" applyNumberFormat="1" applyFont="1" applyBorder="1"/>
    <xf numFmtId="171" fontId="4" fillId="0" borderId="5" xfId="0" applyNumberFormat="1" applyFont="1" applyBorder="1"/>
    <xf numFmtId="171" fontId="24" fillId="0" borderId="5" xfId="0" applyNumberFormat="1" applyFont="1" applyBorder="1" applyAlignment="1">
      <alignment horizontal="left"/>
    </xf>
    <xf numFmtId="171" fontId="4" fillId="0" borderId="5" xfId="0" applyNumberFormat="1" applyFont="1" applyBorder="1" applyAlignment="1">
      <alignment horizontal="left"/>
    </xf>
    <xf numFmtId="173" fontId="4" fillId="0" borderId="5" xfId="0" applyNumberFormat="1" applyFont="1" applyBorder="1"/>
    <xf numFmtId="171" fontId="16" fillId="0" borderId="5" xfId="0" applyNumberFormat="1" applyFont="1" applyBorder="1" applyAlignment="1">
      <alignment horizontal="left"/>
    </xf>
    <xf numFmtId="0" fontId="22" fillId="0" borderId="0" xfId="0" applyFont="1" applyAlignment="1">
      <alignment horizontal="left"/>
    </xf>
    <xf numFmtId="0" fontId="27" fillId="0" borderId="0" xfId="0" applyFont="1" applyFill="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17" fillId="7" borderId="0" xfId="0" applyFont="1" applyFill="1"/>
    <xf numFmtId="170" fontId="15" fillId="0" borderId="0" xfId="0" applyNumberFormat="1" applyFont="1" applyFill="1" applyBorder="1" applyAlignment="1">
      <alignment horizontal="left"/>
    </xf>
    <xf numFmtId="169" fontId="18" fillId="8" borderId="0" xfId="1" applyNumberFormat="1" applyFont="1" applyFill="1"/>
    <xf numFmtId="169" fontId="3" fillId="7" borderId="0" xfId="0" applyNumberFormat="1" applyFont="1" applyFill="1"/>
    <xf numFmtId="0" fontId="3" fillId="7" borderId="0" xfId="0" applyFont="1" applyFill="1" applyAlignment="1">
      <alignment horizontal="left" indent="1"/>
    </xf>
    <xf numFmtId="170" fontId="15" fillId="3" borderId="0" xfId="0" applyNumberFormat="1" applyFont="1" applyFill="1" applyAlignment="1">
      <alignment horizontal="left"/>
    </xf>
    <xf numFmtId="10" fontId="18" fillId="3" borderId="0" xfId="5" applyNumberFormat="1" applyFont="1" applyFill="1" applyBorder="1" applyAlignment="1">
      <alignment horizontal="left"/>
      <protection locked="0"/>
    </xf>
    <xf numFmtId="0" fontId="18" fillId="3" borderId="0" xfId="0" applyFont="1" applyFill="1" applyAlignment="1">
      <alignment horizontal="right"/>
    </xf>
    <xf numFmtId="164" fontId="6" fillId="0" borderId="0" xfId="5" applyNumberFormat="1" applyFont="1" applyFill="1" applyBorder="1" applyAlignment="1">
      <alignment horizontal="center"/>
      <protection locked="0"/>
    </xf>
    <xf numFmtId="168" fontId="18" fillId="3" borderId="0" xfId="0" applyNumberFormat="1" applyFont="1" applyFill="1" applyBorder="1"/>
    <xf numFmtId="0" fontId="3" fillId="0" borderId="2" xfId="0" applyFont="1" applyBorder="1"/>
    <xf numFmtId="0" fontId="25" fillId="0" borderId="2" xfId="0" applyFont="1" applyBorder="1"/>
    <xf numFmtId="171" fontId="17" fillId="0" borderId="2" xfId="0" applyNumberFormat="1" applyFont="1" applyBorder="1" applyAlignment="1">
      <alignment horizontal="left"/>
    </xf>
    <xf numFmtId="0" fontId="3" fillId="0" borderId="2" xfId="0" applyFont="1" applyBorder="1" applyAlignment="1">
      <alignment horizontal="left"/>
    </xf>
    <xf numFmtId="43" fontId="3" fillId="0" borderId="2" xfId="0" applyNumberFormat="1" applyFont="1" applyBorder="1"/>
    <xf numFmtId="165" fontId="6" fillId="4" borderId="2" xfId="0" applyNumberFormat="1" applyFont="1" applyFill="1" applyBorder="1"/>
    <xf numFmtId="0" fontId="30" fillId="0" borderId="0" xfId="0" applyFont="1" applyAlignment="1">
      <alignment horizontal="left"/>
    </xf>
    <xf numFmtId="0" fontId="31" fillId="0" borderId="0" xfId="0" applyFont="1"/>
    <xf numFmtId="0" fontId="2" fillId="2" borderId="1" xfId="0" applyFont="1" applyFill="1" applyBorder="1"/>
    <xf numFmtId="174" fontId="3" fillId="0" borderId="0" xfId="0" applyNumberFormat="1" applyFont="1"/>
    <xf numFmtId="175" fontId="3" fillId="0" borderId="0" xfId="0" applyNumberFormat="1" applyFont="1"/>
    <xf numFmtId="0" fontId="26" fillId="0" borderId="0" xfId="0" applyFont="1" applyAlignment="1">
      <alignment horizontal="right"/>
    </xf>
    <xf numFmtId="0" fontId="2" fillId="2" borderId="1" xfId="0" applyFont="1" applyFill="1" applyBorder="1" applyAlignment="1">
      <alignment horizontal="center"/>
    </xf>
    <xf numFmtId="0" fontId="32" fillId="0" borderId="0" xfId="0" applyFont="1"/>
    <xf numFmtId="0" fontId="32" fillId="0" borderId="0" xfId="0" applyFont="1" applyAlignment="1">
      <alignment horizontal="center"/>
    </xf>
    <xf numFmtId="166" fontId="3" fillId="0" borderId="0" xfId="0" applyNumberFormat="1" applyFont="1" applyBorder="1"/>
    <xf numFmtId="0" fontId="0" fillId="0" borderId="0" xfId="0" applyAlignment="1">
      <alignment horizontal="center"/>
    </xf>
    <xf numFmtId="0" fontId="21" fillId="0" borderId="0" xfId="0" applyFont="1" applyAlignment="1">
      <alignment horizontal="left" vertical="center"/>
    </xf>
    <xf numFmtId="0" fontId="34" fillId="0" borderId="0" xfId="0" applyFont="1"/>
    <xf numFmtId="0" fontId="3" fillId="10" borderId="0" xfId="0" applyFont="1" applyFill="1" applyAlignment="1">
      <alignment horizontal="right"/>
    </xf>
    <xf numFmtId="0" fontId="3" fillId="0" borderId="1" xfId="0" applyFont="1" applyBorder="1"/>
    <xf numFmtId="0" fontId="33" fillId="3" borderId="0" xfId="0" applyFont="1" applyFill="1" applyAlignment="1">
      <alignment horizontal="left"/>
    </xf>
    <xf numFmtId="0" fontId="33" fillId="0" borderId="0" xfId="0" applyFont="1" applyAlignment="1">
      <alignment horizontal="left"/>
    </xf>
    <xf numFmtId="171" fontId="3" fillId="0" borderId="0" xfId="0" applyNumberFormat="1" applyFont="1"/>
    <xf numFmtId="0" fontId="17" fillId="0" borderId="0" xfId="0" applyFont="1" applyAlignment="1">
      <alignment horizontal="left"/>
    </xf>
    <xf numFmtId="0" fontId="4" fillId="0" borderId="2" xfId="0" applyFont="1" applyBorder="1"/>
    <xf numFmtId="0" fontId="35" fillId="0" borderId="2" xfId="0" applyFont="1" applyBorder="1"/>
    <xf numFmtId="171" fontId="24" fillId="0" borderId="2" xfId="0" applyNumberFormat="1" applyFont="1" applyBorder="1" applyAlignment="1">
      <alignment horizontal="left"/>
    </xf>
    <xf numFmtId="0" fontId="4" fillId="0" borderId="2" xfId="0" applyFont="1" applyBorder="1" applyAlignment="1">
      <alignment horizontal="left"/>
    </xf>
    <xf numFmtId="43" fontId="4" fillId="0" borderId="2" xfId="0" applyNumberFormat="1" applyFont="1" applyBorder="1"/>
    <xf numFmtId="165" fontId="12" fillId="4" borderId="2" xfId="0" applyNumberFormat="1" applyFont="1" applyFill="1" applyBorder="1"/>
    <xf numFmtId="165" fontId="12" fillId="4" borderId="0" xfId="0" applyNumberFormat="1" applyFont="1" applyFill="1"/>
    <xf numFmtId="41" fontId="3" fillId="0" borderId="0" xfId="0" applyNumberFormat="1" applyFont="1"/>
    <xf numFmtId="0" fontId="4" fillId="4" borderId="0" xfId="0" applyFont="1" applyFill="1"/>
    <xf numFmtId="0" fontId="3" fillId="0" borderId="0" xfId="0" applyFont="1" applyAlignment="1">
      <alignment horizontal="left" wrapText="1"/>
    </xf>
    <xf numFmtId="10" fontId="3" fillId="3" borderId="0" xfId="2" applyNumberFormat="1" applyFont="1" applyFill="1"/>
    <xf numFmtId="9" fontId="3" fillId="0" borderId="0" xfId="2" applyNumberFormat="1" applyFont="1" applyFill="1"/>
    <xf numFmtId="6" fontId="4" fillId="0" borderId="0" xfId="0" applyNumberFormat="1" applyFont="1"/>
    <xf numFmtId="169" fontId="4" fillId="0" borderId="0" xfId="1" applyNumberFormat="1" applyFont="1" applyBorder="1"/>
    <xf numFmtId="6" fontId="17" fillId="0" borderId="0" xfId="0" applyNumberFormat="1" applyFont="1"/>
    <xf numFmtId="0" fontId="3" fillId="0" borderId="10" xfId="0" applyFont="1" applyBorder="1"/>
    <xf numFmtId="6" fontId="3" fillId="0" borderId="11" xfId="0" applyNumberFormat="1" applyFont="1" applyBorder="1"/>
    <xf numFmtId="0" fontId="3" fillId="0" borderId="8" xfId="0" applyFont="1" applyBorder="1"/>
    <xf numFmtId="0" fontId="3" fillId="0" borderId="12" xfId="0" applyFont="1" applyBorder="1"/>
    <xf numFmtId="6" fontId="3" fillId="0" borderId="0" xfId="0" applyNumberFormat="1" applyFont="1"/>
    <xf numFmtId="8" fontId="4" fillId="0" borderId="0" xfId="0" applyNumberFormat="1" applyFont="1"/>
    <xf numFmtId="6" fontId="4" fillId="0" borderId="7" xfId="0" applyNumberFormat="1" applyFont="1" applyBorder="1"/>
    <xf numFmtId="169" fontId="4" fillId="0" borderId="4" xfId="1" applyNumberFormat="1" applyFont="1" applyBorder="1"/>
    <xf numFmtId="0" fontId="4" fillId="0" borderId="4" xfId="0" applyFont="1" applyBorder="1"/>
    <xf numFmtId="0" fontId="7" fillId="0" borderId="4" xfId="0" applyFont="1" applyBorder="1"/>
    <xf numFmtId="169" fontId="3" fillId="0" borderId="0" xfId="0" applyNumberFormat="1" applyFont="1"/>
    <xf numFmtId="0" fontId="7" fillId="0" borderId="0" xfId="0" applyFont="1"/>
    <xf numFmtId="0" fontId="4" fillId="0" borderId="1" xfId="0" applyFont="1" applyBorder="1" applyAlignment="1">
      <alignment horizontal="center"/>
    </xf>
    <xf numFmtId="0" fontId="7" fillId="0" borderId="1" xfId="0" applyFont="1" applyBorder="1"/>
    <xf numFmtId="0" fontId="7" fillId="0" borderId="0" xfId="0" quotePrefix="1" applyFont="1"/>
    <xf numFmtId="0" fontId="24" fillId="0" borderId="0" xfId="0" applyFont="1"/>
    <xf numFmtId="0" fontId="36" fillId="0" borderId="0" xfId="0" applyFont="1"/>
    <xf numFmtId="169" fontId="18" fillId="3" borderId="7" xfId="1" applyNumberFormat="1" applyFont="1" applyFill="1" applyBorder="1"/>
    <xf numFmtId="0" fontId="4" fillId="0" borderId="13" xfId="0" applyFont="1" applyBorder="1" applyAlignment="1">
      <alignment horizontal="right"/>
    </xf>
    <xf numFmtId="0" fontId="18" fillId="3" borderId="14" xfId="0" applyFont="1" applyFill="1" applyBorder="1"/>
    <xf numFmtId="169" fontId="3" fillId="0" borderId="7" xfId="1" applyNumberFormat="1" applyFont="1" applyBorder="1"/>
    <xf numFmtId="0" fontId="4" fillId="0" borderId="13" xfId="0" applyFont="1" applyBorder="1"/>
    <xf numFmtId="9" fontId="3" fillId="0" borderId="0" xfId="0" applyNumberFormat="1" applyFont="1"/>
    <xf numFmtId="1" fontId="4" fillId="0" borderId="13" xfId="0" applyNumberFormat="1" applyFont="1" applyBorder="1"/>
    <xf numFmtId="169" fontId="3" fillId="0" borderId="0" xfId="1" applyNumberFormat="1" applyFont="1" applyBorder="1"/>
    <xf numFmtId="176" fontId="12" fillId="0" borderId="0" xfId="1" applyNumberFormat="1" applyFont="1" applyFill="1" applyBorder="1"/>
    <xf numFmtId="6" fontId="4" fillId="0" borderId="0" xfId="0" quotePrefix="1" applyNumberFormat="1" applyFont="1" applyAlignment="1">
      <alignment horizontal="right"/>
    </xf>
    <xf numFmtId="3" fontId="18" fillId="3" borderId="7" xfId="0" applyNumberFormat="1" applyFont="1" applyFill="1" applyBorder="1"/>
    <xf numFmtId="0" fontId="18" fillId="3" borderId="7" xfId="0" applyFont="1" applyFill="1" applyBorder="1"/>
    <xf numFmtId="43" fontId="18" fillId="3" borderId="7" xfId="1" applyFont="1" applyFill="1" applyBorder="1"/>
    <xf numFmtId="0" fontId="24" fillId="0" borderId="13" xfId="0" applyFont="1" applyBorder="1"/>
    <xf numFmtId="0" fontId="3" fillId="0" borderId="13" xfId="0" applyFont="1" applyBorder="1"/>
    <xf numFmtId="3" fontId="3" fillId="0" borderId="0" xfId="0" applyNumberFormat="1" applyFont="1"/>
    <xf numFmtId="3" fontId="3" fillId="0" borderId="0" xfId="0" applyNumberFormat="1" applyFont="1" applyAlignment="1">
      <alignment horizontal="right"/>
    </xf>
    <xf numFmtId="3" fontId="3" fillId="0" borderId="13" xfId="0" applyNumberFormat="1" applyFont="1" applyBorder="1"/>
    <xf numFmtId="3" fontId="4" fillId="0" borderId="0" xfId="0" applyNumberFormat="1" applyFont="1"/>
    <xf numFmtId="3" fontId="4" fillId="0" borderId="4" xfId="0" applyNumberFormat="1" applyFont="1" applyBorder="1"/>
    <xf numFmtId="177" fontId="3" fillId="0" borderId="0" xfId="0" applyNumberFormat="1" applyFont="1"/>
    <xf numFmtId="178" fontId="3" fillId="0" borderId="0" xfId="0" applyNumberFormat="1" applyFont="1"/>
    <xf numFmtId="0" fontId="4" fillId="0" borderId="0" xfId="0" applyFont="1" applyAlignment="1"/>
    <xf numFmtId="0" fontId="3" fillId="0" borderId="0" xfId="0" applyFont="1" applyAlignment="1"/>
    <xf numFmtId="0" fontId="4" fillId="0" borderId="0" xfId="0" applyFont="1" applyBorder="1"/>
    <xf numFmtId="3" fontId="3" fillId="0" borderId="0" xfId="0" applyNumberFormat="1" applyFont="1" applyBorder="1"/>
    <xf numFmtId="173" fontId="4" fillId="0" borderId="0" xfId="0" applyNumberFormat="1" applyFont="1" applyBorder="1"/>
    <xf numFmtId="165" fontId="6" fillId="4" borderId="0" xfId="0" applyNumberFormat="1" applyFont="1" applyFill="1" applyBorder="1"/>
    <xf numFmtId="171" fontId="17" fillId="0" borderId="5" xfId="0" applyNumberFormat="1" applyFont="1" applyBorder="1"/>
    <xf numFmtId="169" fontId="3" fillId="0" borderId="0" xfId="1" applyNumberFormat="1" applyFont="1" applyFill="1" applyBorder="1" applyAlignment="1">
      <alignment horizontal="right"/>
    </xf>
    <xf numFmtId="4" fontId="3" fillId="7" borderId="0" xfId="0" applyNumberFormat="1" applyFont="1" applyFill="1" applyAlignment="1">
      <alignment horizontal="right"/>
    </xf>
    <xf numFmtId="4" fontId="3" fillId="7" borderId="0" xfId="0" applyNumberFormat="1" applyFont="1" applyFill="1"/>
    <xf numFmtId="179" fontId="3" fillId="7" borderId="0" xfId="1" applyNumberFormat="1" applyFont="1" applyFill="1"/>
    <xf numFmtId="170" fontId="15" fillId="0" borderId="0" xfId="0" applyNumberFormat="1" applyFont="1" applyAlignment="1">
      <alignment horizontal="left"/>
    </xf>
    <xf numFmtId="0" fontId="6" fillId="0" borderId="0" xfId="0" applyFont="1"/>
    <xf numFmtId="165" fontId="6" fillId="0" borderId="0" xfId="0" applyNumberFormat="1" applyFont="1"/>
    <xf numFmtId="0" fontId="4" fillId="0" borderId="0" xfId="0" applyFont="1" applyAlignment="1">
      <alignment horizontal="left"/>
    </xf>
    <xf numFmtId="10" fontId="3" fillId="0" borderId="15" xfId="2" applyNumberFormat="1" applyFont="1" applyFill="1" applyBorder="1"/>
    <xf numFmtId="168" fontId="3" fillId="0" borderId="7" xfId="0" applyNumberFormat="1" applyFont="1" applyFill="1" applyBorder="1"/>
    <xf numFmtId="171" fontId="24" fillId="0" borderId="5" xfId="6" applyNumberFormat="1" applyFont="1" applyBorder="1" applyAlignment="1">
      <alignment horizontal="left"/>
    </xf>
    <xf numFmtId="171" fontId="3" fillId="0" borderId="13" xfId="0" applyNumberFormat="1" applyFont="1" applyBorder="1"/>
    <xf numFmtId="166" fontId="29" fillId="11" borderId="0" xfId="0" applyNumberFormat="1" applyFont="1" applyFill="1"/>
    <xf numFmtId="165" fontId="6" fillId="11" borderId="0" xfId="0" applyNumberFormat="1" applyFont="1" applyFill="1"/>
    <xf numFmtId="171" fontId="3" fillId="0" borderId="5" xfId="0" applyNumberFormat="1" applyFont="1" applyBorder="1"/>
    <xf numFmtId="171" fontId="3" fillId="0" borderId="5" xfId="0" applyNumberFormat="1" applyFont="1" applyBorder="1" applyAlignment="1">
      <alignment horizontal="left"/>
    </xf>
    <xf numFmtId="173" fontId="3" fillId="0" borderId="5" xfId="0" applyNumberFormat="1" applyFont="1" applyBorder="1"/>
    <xf numFmtId="165" fontId="12" fillId="0" borderId="0" xfId="0" applyNumberFormat="1" applyFont="1"/>
    <xf numFmtId="170" fontId="37" fillId="0" borderId="0" xfId="0" applyNumberFormat="1" applyFont="1" applyAlignment="1">
      <alignment horizontal="left"/>
    </xf>
    <xf numFmtId="170" fontId="37" fillId="0" borderId="5" xfId="0" applyNumberFormat="1" applyFont="1" applyBorder="1" applyAlignment="1">
      <alignment horizontal="left"/>
    </xf>
    <xf numFmtId="170" fontId="7" fillId="0" borderId="13" xfId="0" applyNumberFormat="1" applyFont="1" applyBorder="1" applyAlignment="1">
      <alignment horizontal="left"/>
    </xf>
    <xf numFmtId="0" fontId="4" fillId="0" borderId="0" xfId="0" applyFont="1" applyFill="1"/>
    <xf numFmtId="0" fontId="3" fillId="0" borderId="13" xfId="0" applyFont="1" applyFill="1" applyBorder="1"/>
    <xf numFmtId="0" fontId="7" fillId="0" borderId="13" xfId="0" applyFont="1" applyFill="1" applyBorder="1"/>
    <xf numFmtId="169" fontId="3" fillId="3" borderId="0" xfId="0" applyNumberFormat="1" applyFont="1" applyFill="1"/>
    <xf numFmtId="0" fontId="31" fillId="0" borderId="0" xfId="0" applyFont="1" applyFill="1"/>
    <xf numFmtId="169" fontId="3" fillId="3" borderId="0" xfId="1" applyNumberFormat="1" applyFont="1" applyFill="1"/>
    <xf numFmtId="10" fontId="3" fillId="11" borderId="0" xfId="2" applyNumberFormat="1" applyFont="1" applyFill="1"/>
    <xf numFmtId="166" fontId="29" fillId="12" borderId="0" xfId="0" applyNumberFormat="1" applyFont="1" applyFill="1"/>
    <xf numFmtId="164" fontId="18" fillId="12" borderId="0" xfId="5" applyNumberFormat="1" applyFont="1" applyFill="1" applyBorder="1" applyAlignment="1">
      <alignment horizontal="center"/>
      <protection locked="0"/>
    </xf>
    <xf numFmtId="6" fontId="3" fillId="0" borderId="9" xfId="0" applyNumberFormat="1" applyFont="1" applyFill="1" applyBorder="1"/>
    <xf numFmtId="10" fontId="18" fillId="12" borderId="0" xfId="2" applyNumberFormat="1" applyFont="1" applyFill="1"/>
    <xf numFmtId="173" fontId="3" fillId="12" borderId="5" xfId="0" applyNumberFormat="1" applyFont="1" applyFill="1" applyBorder="1"/>
    <xf numFmtId="0" fontId="3" fillId="0" borderId="0" xfId="0" applyFont="1" applyAlignment="1">
      <alignment horizontal="right"/>
    </xf>
    <xf numFmtId="10" fontId="18" fillId="3" borderId="7" xfId="2" applyNumberFormat="1" applyFont="1" applyFill="1" applyBorder="1"/>
    <xf numFmtId="165" fontId="6" fillId="12" borderId="0" xfId="0" applyNumberFormat="1" applyFont="1" applyFill="1"/>
    <xf numFmtId="169" fontId="3" fillId="11" borderId="0" xfId="0" applyNumberFormat="1" applyFont="1" applyFill="1"/>
    <xf numFmtId="169" fontId="3" fillId="11" borderId="0" xfId="1" applyNumberFormat="1" applyFont="1" applyFill="1"/>
    <xf numFmtId="169" fontId="3" fillId="11" borderId="13" xfId="1" applyNumberFormat="1" applyFont="1" applyFill="1" applyBorder="1"/>
    <xf numFmtId="0" fontId="3" fillId="13" borderId="5" xfId="0" applyFont="1" applyFill="1" applyBorder="1"/>
    <xf numFmtId="170" fontId="15" fillId="0" borderId="4" xfId="0" applyNumberFormat="1" applyFont="1" applyFill="1" applyBorder="1"/>
    <xf numFmtId="165" fontId="6" fillId="0" borderId="0" xfId="0" applyNumberFormat="1" applyFont="1" applyFill="1"/>
    <xf numFmtId="0" fontId="4" fillId="5" borderId="0" xfId="0" applyFont="1" applyFill="1"/>
    <xf numFmtId="0" fontId="3" fillId="5" borderId="0" xfId="0" applyFont="1" applyFill="1"/>
    <xf numFmtId="180" fontId="18" fillId="5" borderId="0" xfId="0" applyNumberFormat="1" applyFont="1" applyFill="1" applyAlignment="1">
      <alignment horizontal="left"/>
    </xf>
    <xf numFmtId="0" fontId="6" fillId="5" borderId="0" xfId="0" applyFont="1" applyFill="1"/>
    <xf numFmtId="166" fontId="18" fillId="5" borderId="0" xfId="0" applyNumberFormat="1" applyFont="1" applyFill="1"/>
    <xf numFmtId="0" fontId="3" fillId="5" borderId="0" xfId="0" applyFont="1" applyFill="1" applyAlignment="1">
      <alignment horizontal="left"/>
    </xf>
    <xf numFmtId="0" fontId="0" fillId="5" borderId="0" xfId="0" applyFill="1"/>
    <xf numFmtId="181" fontId="37" fillId="5" borderId="0" xfId="0" applyNumberFormat="1" applyFont="1" applyFill="1" applyAlignment="1">
      <alignment horizontal="left"/>
    </xf>
    <xf numFmtId="170" fontId="15" fillId="5" borderId="0" xfId="0" applyNumberFormat="1" applyFont="1" applyFill="1" applyAlignment="1">
      <alignment horizontal="left"/>
    </xf>
    <xf numFmtId="165" fontId="6" fillId="5" borderId="0" xfId="0" applyNumberFormat="1" applyFont="1" applyFill="1"/>
    <xf numFmtId="171" fontId="3" fillId="5" borderId="0" xfId="6" applyNumberFormat="1" applyFont="1" applyFill="1" applyBorder="1"/>
    <xf numFmtId="0" fontId="3" fillId="5" borderId="0" xfId="0" applyFont="1" applyFill="1" applyBorder="1"/>
    <xf numFmtId="171" fontId="17" fillId="5" borderId="0" xfId="0" applyNumberFormat="1" applyFont="1" applyFill="1" applyBorder="1" applyAlignment="1">
      <alignment horizontal="left"/>
    </xf>
    <xf numFmtId="170" fontId="15" fillId="5" borderId="0" xfId="0" applyNumberFormat="1" applyFont="1" applyFill="1" applyBorder="1"/>
    <xf numFmtId="165" fontId="6" fillId="5" borderId="0" xfId="0" applyNumberFormat="1" applyFont="1" applyFill="1" applyBorder="1"/>
    <xf numFmtId="171" fontId="4" fillId="5" borderId="0" xfId="0" applyNumberFormat="1" applyFont="1" applyFill="1" applyBorder="1"/>
    <xf numFmtId="171" fontId="17" fillId="5" borderId="0" xfId="6" applyNumberFormat="1" applyFont="1" applyFill="1" applyBorder="1" applyAlignment="1">
      <alignment horizontal="left"/>
    </xf>
    <xf numFmtId="171" fontId="3" fillId="5" borderId="0" xfId="0" applyNumberFormat="1" applyFont="1" applyFill="1" applyBorder="1" applyAlignment="1">
      <alignment horizontal="left"/>
    </xf>
    <xf numFmtId="171" fontId="3" fillId="5" borderId="0" xfId="0" applyNumberFormat="1" applyFont="1" applyFill="1" applyBorder="1"/>
    <xf numFmtId="173" fontId="3" fillId="5" borderId="0" xfId="0" applyNumberFormat="1" applyFont="1" applyFill="1" applyBorder="1"/>
    <xf numFmtId="171" fontId="24" fillId="5" borderId="0" xfId="6" applyNumberFormat="1" applyFont="1" applyFill="1" applyBorder="1" applyAlignment="1">
      <alignment horizontal="left"/>
    </xf>
    <xf numFmtId="171" fontId="4" fillId="5" borderId="0" xfId="0" applyNumberFormat="1" applyFont="1" applyFill="1" applyBorder="1" applyAlignment="1">
      <alignment horizontal="left"/>
    </xf>
    <xf numFmtId="173" fontId="4" fillId="5" borderId="0" xfId="0" applyNumberFormat="1" applyFont="1" applyFill="1" applyBorder="1"/>
    <xf numFmtId="169" fontId="18" fillId="14" borderId="0" xfId="1" applyNumberFormat="1" applyFont="1" applyFill="1"/>
    <xf numFmtId="3" fontId="18" fillId="14" borderId="0" xfId="1" applyNumberFormat="1" applyFont="1" applyFill="1"/>
    <xf numFmtId="176" fontId="18" fillId="11" borderId="7" xfId="2" applyNumberFormat="1" applyFont="1" applyFill="1" applyBorder="1"/>
    <xf numFmtId="0" fontId="3" fillId="0" borderId="0" xfId="0" applyFont="1" applyAlignment="1">
      <alignment horizontal="left" wrapText="1"/>
    </xf>
    <xf numFmtId="0" fontId="24" fillId="0" borderId="0" xfId="0" applyFont="1" applyFill="1" applyBorder="1"/>
    <xf numFmtId="0" fontId="3" fillId="0" borderId="0" xfId="0" applyFont="1" applyFill="1" applyBorder="1"/>
    <xf numFmtId="0" fontId="3" fillId="0" borderId="0" xfId="0" applyFont="1" applyBorder="1"/>
  </cellXfs>
  <cellStyles count="7">
    <cellStyle name="Comma" xfId="1" builtinId="3"/>
    <cellStyle name="dms_1" xfId="4" xr:uid="{00000000-0005-0000-0000-000002000000}"/>
    <cellStyle name="Normal" xfId="0" builtinId="0"/>
    <cellStyle name="Normal 11" xfId="6" xr:uid="{09966665-EC32-4B3C-A674-A07B145D9DE6}"/>
    <cellStyle name="Percent" xfId="2" builtinId="5"/>
    <cellStyle name="TableLvl2" xfId="3" xr:uid="{00000000-0005-0000-0000-000009000000}"/>
    <cellStyle name="User_Input_Actual" xfId="5" xr:uid="{00000000-0005-0000-0000-00000A000000}"/>
  </cellStyles>
  <dxfs count="1">
    <dxf>
      <font>
        <b/>
        <i val="0"/>
        <color theme="0"/>
      </font>
      <fill>
        <patternFill>
          <bgColor rgb="FFFF0000"/>
        </patternFill>
      </fill>
    </dxf>
  </dxfs>
  <tableStyles count="0" defaultTableStyle="TableStyleMedium2" defaultPivotStyle="PivotStyleLight16"/>
  <colors>
    <mruColors>
      <color rgb="FF00FF00"/>
      <color rgb="FF00FFFF"/>
      <color rgb="FFFFFFCC"/>
      <color rgb="FF99FF99"/>
      <color rgb="FF0000FF"/>
      <color rgb="FF1F497D"/>
      <color rgb="FFCCFFFF"/>
      <color rgb="FFFF99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85724</xdr:colOff>
      <xdr:row>5</xdr:row>
      <xdr:rowOff>47625</xdr:rowOff>
    </xdr:from>
    <xdr:to>
      <xdr:col>9</xdr:col>
      <xdr:colOff>0</xdr:colOff>
      <xdr:row>8</xdr:row>
      <xdr:rowOff>57150</xdr:rowOff>
    </xdr:to>
    <xdr:sp macro="" textlink="">
      <xdr:nvSpPr>
        <xdr:cNvPr id="3" name="Rectangle 2">
          <a:extLst>
            <a:ext uri="{FF2B5EF4-FFF2-40B4-BE49-F238E27FC236}">
              <a16:creationId xmlns:a16="http://schemas.microsoft.com/office/drawing/2014/main" id="{2EE72E6C-03DC-4435-8AD9-D3FC09263EC2}"/>
            </a:ext>
          </a:extLst>
        </xdr:cNvPr>
        <xdr:cNvSpPr/>
      </xdr:nvSpPr>
      <xdr:spPr>
        <a:xfrm>
          <a:off x="85724" y="1038225"/>
          <a:ext cx="10210801"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Starting 1 December 2022, all meters installed from 1 December 2018 will be required to provide 5-minute usage data. This will result in growth in need for data storage and manual meter read exceptions handling.</a:t>
          </a:r>
        </a:p>
        <a:p>
          <a:pPr algn="l"/>
          <a:endParaRPr lang="en-AU"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89647</xdr:colOff>
      <xdr:row>5</xdr:row>
      <xdr:rowOff>44822</xdr:rowOff>
    </xdr:from>
    <xdr:to>
      <xdr:col>11</xdr:col>
      <xdr:colOff>305500</xdr:colOff>
      <xdr:row>9</xdr:row>
      <xdr:rowOff>44822</xdr:rowOff>
    </xdr:to>
    <xdr:sp macro="" textlink="">
      <xdr:nvSpPr>
        <xdr:cNvPr id="2" name="Rectangle 1">
          <a:extLst>
            <a:ext uri="{FF2B5EF4-FFF2-40B4-BE49-F238E27FC236}">
              <a16:creationId xmlns:a16="http://schemas.microsoft.com/office/drawing/2014/main" id="{A4D03F40-41B1-4763-BAE7-0701F977B0C0}"/>
            </a:ext>
          </a:extLst>
        </xdr:cNvPr>
        <xdr:cNvSpPr/>
      </xdr:nvSpPr>
      <xdr:spPr>
        <a:xfrm>
          <a:off x="89647" y="1019734"/>
          <a:ext cx="10413206" cy="627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 critical infrastructure system and data control requirements are new 'regulatory obligations or requirements' (within the meaning given to that term by the National Electricity Law) associated with the provision of standard control services. Compliance with those requirements is required in order to achieve the operating expenditure objective set out in clause 6.5.6(a)(2) of the National Electricity Rules or, in the alternative, clause 6.5.6(a)(1), (a)(3) and/or (a)(4) of the Rules.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xdr:colOff>
      <xdr:row>5</xdr:row>
      <xdr:rowOff>123264</xdr:rowOff>
    </xdr:from>
    <xdr:to>
      <xdr:col>16</xdr:col>
      <xdr:colOff>529618</xdr:colOff>
      <xdr:row>8</xdr:row>
      <xdr:rowOff>7423</xdr:rowOff>
    </xdr:to>
    <xdr:sp macro="" textlink="">
      <xdr:nvSpPr>
        <xdr:cNvPr id="2" name="Rectangle 1">
          <a:extLst>
            <a:ext uri="{FF2B5EF4-FFF2-40B4-BE49-F238E27FC236}">
              <a16:creationId xmlns:a16="http://schemas.microsoft.com/office/drawing/2014/main" id="{AE9D5655-E921-47DE-9E5F-34DD6ECFE93D}"/>
            </a:ext>
          </a:extLst>
        </xdr:cNvPr>
        <xdr:cNvSpPr/>
      </xdr:nvSpPr>
      <xdr:spPr>
        <a:xfrm>
          <a:off x="78441" y="1098176"/>
          <a:ext cx="10301148" cy="3548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We can deliver benefits to customers through lower</a:t>
          </a:r>
          <a:r>
            <a:rPr lang="en-AU" sz="1000" baseline="0">
              <a:solidFill>
                <a:sysClr val="windowText" lastClr="000000"/>
              </a:solidFill>
            </a:rPr>
            <a:t> costs by using demand management solutions in leiu of network augmentation.  </a:t>
          </a:r>
          <a:endParaRPr lang="en-AU"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120603</xdr:colOff>
      <xdr:row>7</xdr:row>
      <xdr:rowOff>46084</xdr:rowOff>
    </xdr:to>
    <xdr:sp macro="" textlink="">
      <xdr:nvSpPr>
        <xdr:cNvPr id="2" name="Rectangle 1">
          <a:extLst>
            <a:ext uri="{FF2B5EF4-FFF2-40B4-BE49-F238E27FC236}">
              <a16:creationId xmlns:a16="http://schemas.microsoft.com/office/drawing/2014/main" id="{408825F5-0F57-47CA-B4C1-16AF4951FE64}"/>
            </a:ext>
          </a:extLst>
        </xdr:cNvPr>
        <xdr:cNvSpPr/>
      </xdr:nvSpPr>
      <xdr:spPr>
        <a:xfrm>
          <a:off x="0" y="672353"/>
          <a:ext cx="8222456" cy="5167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There is an opportunity to increase customer benefits by allowing more solar on the network. This will result in material changes in operating expenditure.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xdr:row>
      <xdr:rowOff>47625</xdr:rowOff>
    </xdr:from>
    <xdr:to>
      <xdr:col>9</xdr:col>
      <xdr:colOff>133350</xdr:colOff>
      <xdr:row>8</xdr:row>
      <xdr:rowOff>28575</xdr:rowOff>
    </xdr:to>
    <xdr:sp macro="" textlink="">
      <xdr:nvSpPr>
        <xdr:cNvPr id="2" name="Rectangle 1">
          <a:extLst>
            <a:ext uri="{FF2B5EF4-FFF2-40B4-BE49-F238E27FC236}">
              <a16:creationId xmlns:a16="http://schemas.microsoft.com/office/drawing/2014/main" id="{5B6DB375-D8F0-4471-B8E5-A1A07C6A79F4}"/>
            </a:ext>
          </a:extLst>
        </xdr:cNvPr>
        <xdr:cNvSpPr/>
      </xdr:nvSpPr>
      <xdr:spPr>
        <a:xfrm>
          <a:off x="95250" y="1038225"/>
          <a:ext cx="9744075" cy="46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There is an opportunity to reduce</a:t>
          </a:r>
          <a:r>
            <a:rPr lang="en-AU" sz="1000" baseline="0">
              <a:solidFill>
                <a:sysClr val="windowText" lastClr="000000"/>
              </a:solidFill>
            </a:rPr>
            <a:t> costs and deliver </a:t>
          </a:r>
          <a:r>
            <a:rPr lang="en-AU" sz="1000">
              <a:solidFill>
                <a:sysClr val="windowText" lastClr="000000"/>
              </a:solidFill>
            </a:rPr>
            <a:t>customer benefits by migrating some IT infrastcuture from on-premise to cloud-hosting.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5</xdr:row>
      <xdr:rowOff>47626</xdr:rowOff>
    </xdr:from>
    <xdr:to>
      <xdr:col>8</xdr:col>
      <xdr:colOff>0</xdr:colOff>
      <xdr:row>6</xdr:row>
      <xdr:rowOff>114301</xdr:rowOff>
    </xdr:to>
    <xdr:sp macro="" textlink="">
      <xdr:nvSpPr>
        <xdr:cNvPr id="2" name="Rectangle 1">
          <a:extLst>
            <a:ext uri="{FF2B5EF4-FFF2-40B4-BE49-F238E27FC236}">
              <a16:creationId xmlns:a16="http://schemas.microsoft.com/office/drawing/2014/main" id="{2E0714D5-CEE3-409E-BAEA-3CBD13D60CDD}"/>
            </a:ext>
          </a:extLst>
        </xdr:cNvPr>
        <xdr:cNvSpPr/>
      </xdr:nvSpPr>
      <xdr:spPr>
        <a:xfrm>
          <a:off x="85725" y="1038226"/>
          <a:ext cx="923925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a:solidFill>
                <a:sysClr val="windowText" lastClr="000000"/>
              </a:solidFill>
            </a:rPr>
            <a:t>Due to worsening global insurance market conditions, our premiums for efficient insurance cover are expected to increase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20Final%20Revised%20Proposal/3%20United%20Energy/4%20Models/01%20SCS/UE%20RRP%20MOD%2010.06%20-%20Opex%20-%20Dec2020%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RP Amendments"/>
      <sheetName val="Input|General"/>
      <sheetName val="Input|Inflation"/>
      <sheetName val="Input|Reported opex"/>
      <sheetName val="Input|Rate of change"/>
      <sheetName val="Input|Step changes"/>
      <sheetName val="Calc|Opex forecast"/>
      <sheetName val="Output|Models"/>
      <sheetName val="Lookup|Tables"/>
      <sheetName val="Check|List"/>
    </sheetNames>
    <sheetDataSet>
      <sheetData sheetId="0"/>
      <sheetData sheetId="1"/>
      <sheetData sheetId="2"/>
      <sheetData sheetId="3"/>
      <sheetData sheetId="4"/>
      <sheetData sheetId="5">
        <row r="40">
          <cell r="Q40">
            <v>7.762137192630263E-3</v>
          </cell>
          <cell r="R40">
            <v>4.9608934391037352E-3</v>
          </cell>
          <cell r="S40">
            <v>6.512577699459102E-3</v>
          </cell>
          <cell r="T40">
            <v>9.9346404822831889E-3</v>
          </cell>
          <cell r="U40">
            <v>1.3075423782207421E-2</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FF"/>
    <pageSetUpPr fitToPage="1"/>
  </sheetPr>
  <dimension ref="A1:Y51"/>
  <sheetViews>
    <sheetView showGridLines="0" zoomScale="80" zoomScaleNormal="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 defaultRowHeight="12.75" x14ac:dyDescent="0.2"/>
  <cols>
    <col min="1" max="1" width="4.125" style="1" customWidth="1"/>
    <col min="2" max="2" width="40.625" style="1" customWidth="1"/>
    <col min="3" max="3" width="0.875" style="1" customWidth="1"/>
    <col min="4" max="4" width="11.5" style="1" customWidth="1"/>
    <col min="5" max="11" width="2.625" style="1" customWidth="1"/>
    <col min="12" max="12" width="9" style="1" customWidth="1"/>
    <col min="13" max="17" width="10.25" style="1" customWidth="1"/>
    <col min="18" max="18" width="2.375" style="1" customWidth="1"/>
    <col min="19" max="19" width="9" style="1"/>
    <col min="20" max="20" width="9.625" style="1" bestFit="1" customWidth="1"/>
    <col min="21" max="16384" width="9" style="1"/>
  </cols>
  <sheetData>
    <row r="1" spans="1:25" ht="21" x14ac:dyDescent="0.35">
      <c r="A1" s="3" t="s">
        <v>28</v>
      </c>
    </row>
    <row r="2" spans="1:25" ht="18.75" x14ac:dyDescent="0.3">
      <c r="A2" s="7" t="str">
        <f ca="1">RIGHT(CELL("filename",A1),LEN(CELL("filename",A1))-FIND("]",CELL("filename",A1),1))</f>
        <v>Output</v>
      </c>
      <c r="D2" s="84" t="b">
        <f ca="1">MAX($A$7:$A$18)=UE_count</f>
        <v>1</v>
      </c>
      <c r="P2" s="85"/>
    </row>
    <row r="4" spans="1:25" x14ac:dyDescent="0.2">
      <c r="K4" s="31"/>
      <c r="L4" s="31"/>
      <c r="M4" s="31"/>
      <c r="N4" s="31"/>
      <c r="O4" s="31"/>
      <c r="P4" s="31"/>
      <c r="Q4" s="31"/>
    </row>
    <row r="5" spans="1:25" x14ac:dyDescent="0.2">
      <c r="A5" s="86" t="s">
        <v>0</v>
      </c>
      <c r="B5" s="86"/>
      <c r="C5" s="86"/>
      <c r="D5" s="86"/>
      <c r="E5" s="86"/>
      <c r="F5" s="86"/>
      <c r="G5" s="86"/>
      <c r="H5" s="86"/>
      <c r="I5" s="86"/>
      <c r="J5" s="2"/>
      <c r="K5" s="2"/>
      <c r="L5" s="6"/>
      <c r="M5" s="6" t="s">
        <v>16</v>
      </c>
      <c r="N5" s="6" t="s">
        <v>17</v>
      </c>
      <c r="O5" s="6" t="s">
        <v>18</v>
      </c>
      <c r="P5" s="6" t="s">
        <v>19</v>
      </c>
      <c r="Q5" s="6" t="s">
        <v>20</v>
      </c>
      <c r="S5" s="6" t="s">
        <v>44</v>
      </c>
    </row>
    <row r="7" spans="1:25" x14ac:dyDescent="0.2">
      <c r="A7" s="99">
        <v>1</v>
      </c>
      <c r="B7" s="8" t="str">
        <f ca="1">IF(A7="", "", INDEX(Summary!H$7:H$21, MATCH($A7, Summary!$C$7:$C$21,0)))</f>
        <v>Security of critical infrastructure</v>
      </c>
      <c r="G7" s="21"/>
      <c r="K7" s="8"/>
      <c r="L7" s="8"/>
      <c r="M7" s="8">
        <f ca="1">IF($A7="", "", INDEX(Summary!M$7:M$21, MATCH($A7, Summary!$C$7:$C$21,0)))</f>
        <v>8535.8479086709431</v>
      </c>
      <c r="N7" s="8">
        <f ca="1">IF($A7="", "", INDEX(Summary!N$7:N$21, MATCH($A7, Summary!$C$7:$C$21,0)))</f>
        <v>5759.9025732741584</v>
      </c>
      <c r="O7" s="8">
        <f ca="1">IF($A7="", "", INDEX(Summary!O$7:O$21, MATCH($A7, Summary!$C$7:$C$21,0)))</f>
        <v>5697.4592032624078</v>
      </c>
      <c r="P7" s="8">
        <f ca="1">IF($A7="", "", INDEX(Summary!P$7:P$21, MATCH($A7, Summary!$C$7:$C$21,0)))</f>
        <v>5559.9701886417124</v>
      </c>
      <c r="Q7" s="8">
        <f ca="1">IF($A7="", "", INDEX(Summary!Q$7:Q$21, MATCH($A7, Summary!$C$7:$C$21,0)))</f>
        <v>5603.0079767700063</v>
      </c>
      <c r="S7" s="9">
        <f t="shared" ref="S7:S16" ca="1" si="0">SUM(M7:Q7)</f>
        <v>31156.18785061923</v>
      </c>
    </row>
    <row r="8" spans="1:25" x14ac:dyDescent="0.2">
      <c r="A8" s="100">
        <f t="shared" ref="A8:A16" ca="1" si="1">IF($A7&lt;UE_count, A7+1, "")</f>
        <v>2</v>
      </c>
      <c r="B8" s="8" t="str">
        <f ca="1">IF(A8="", "", INDEX(Summary!H$7:H$21, MATCH($A8, Summary!$C$7:$C$21,0)))</f>
        <v>Increasing insurance premiums</v>
      </c>
      <c r="G8" s="21"/>
      <c r="H8" s="5"/>
      <c r="K8" s="8"/>
      <c r="L8" s="8"/>
      <c r="M8" s="8">
        <f ca="1">IF($A8="", "", INDEX(Summary!M$7:M$21, MATCH($A8, Summary!$C$7:$C$21,0)))</f>
        <v>2350.5349371161624</v>
      </c>
      <c r="N8" s="8">
        <f ca="1">IF($A8="", "", INDEX(Summary!N$7:N$21, MATCH($A8, Summary!$C$7:$C$21,0)))</f>
        <v>2350.5349371161624</v>
      </c>
      <c r="O8" s="8">
        <f ca="1">IF($A8="", "", INDEX(Summary!O$7:O$21, MATCH($A8, Summary!$C$7:$C$21,0)))</f>
        <v>2350.5349371161624</v>
      </c>
      <c r="P8" s="8">
        <f ca="1">IF($A8="", "", INDEX(Summary!P$7:P$21, MATCH($A8, Summary!$C$7:$C$21,0)))</f>
        <v>2350.5349371161624</v>
      </c>
      <c r="Q8" s="8">
        <f ca="1">IF($A8="", "", INDEX(Summary!Q$7:Q$21, MATCH($A8, Summary!$C$7:$C$21,0)))</f>
        <v>2350.5349371161624</v>
      </c>
      <c r="S8" s="9">
        <f t="shared" ca="1" si="0"/>
        <v>11752.674685580812</v>
      </c>
      <c r="T8" s="87"/>
      <c r="U8" s="87"/>
      <c r="V8" s="87"/>
      <c r="W8" s="87"/>
      <c r="X8" s="87"/>
      <c r="Y8" s="87"/>
    </row>
    <row r="9" spans="1:25" x14ac:dyDescent="0.2">
      <c r="A9" s="100">
        <f t="shared" ca="1" si="1"/>
        <v>3</v>
      </c>
      <c r="B9" s="8" t="str">
        <f ca="1">IF(A9="", "", INDEX(Summary!H$7:H$21, MATCH($A9, Summary!$C$7:$C$21,0)))</f>
        <v>IT cloud solutions</v>
      </c>
      <c r="G9" s="21"/>
      <c r="H9" s="5"/>
      <c r="K9" s="8"/>
      <c r="L9" s="8"/>
      <c r="M9" s="8">
        <f ca="1">IF($A9="", "", INDEX(Summary!M$7:M$21, MATCH($A9, Summary!$C$7:$C$21,0)))</f>
        <v>688.39207822608387</v>
      </c>
      <c r="N9" s="8">
        <f ca="1">IF($A9="", "", INDEX(Summary!N$7:N$21, MATCH($A9, Summary!$C$7:$C$21,0)))</f>
        <v>680.54311261007854</v>
      </c>
      <c r="O9" s="8">
        <f ca="1">IF($A9="", "", INDEX(Summary!O$7:O$21, MATCH($A9, Summary!$C$7:$C$21,0)))</f>
        <v>968.04684174960494</v>
      </c>
      <c r="P9" s="8">
        <f ca="1">IF($A9="", "", INDEX(Summary!P$7:P$21, MATCH($A9, Summary!$C$7:$C$21,0)))</f>
        <v>1106.332549889335</v>
      </c>
      <c r="Q9" s="8">
        <f ca="1">IF($A9="", "", INDEX(Summary!Q$7:Q$21, MATCH($A9, Summary!$C$7:$C$21,0)))</f>
        <v>1099.860653508375</v>
      </c>
      <c r="S9" s="9">
        <f t="shared" ca="1" si="0"/>
        <v>4543.1752359834773</v>
      </c>
    </row>
    <row r="10" spans="1:25" x14ac:dyDescent="0.2">
      <c r="A10" s="100">
        <f t="shared" ca="1" si="1"/>
        <v>4</v>
      </c>
      <c r="B10" s="8" t="str">
        <f ca="1">IF(A10="", "", INDEX(Summary!H$7:H$21, MATCH($A10, Summary!$C$7:$C$21,0)))</f>
        <v>Solar enablement</v>
      </c>
      <c r="H10" s="5"/>
      <c r="M10" s="8">
        <f ca="1">IF($A10="", "", INDEX(Summary!M$7:M$21, MATCH($A10, Summary!$C$7:$C$21,0)))</f>
        <v>891.8732834194883</v>
      </c>
      <c r="N10" s="8">
        <f ca="1">IF($A10="", "", INDEX(Summary!N$7:N$21, MATCH($A10, Summary!$C$7:$C$21,0)))</f>
        <v>754.78456023919023</v>
      </c>
      <c r="O10" s="8">
        <f ca="1">IF($A10="", "", INDEX(Summary!O$7:O$21, MATCH($A10, Summary!$C$7:$C$21,0)))</f>
        <v>783.76835138728563</v>
      </c>
      <c r="P10" s="8">
        <f ca="1">IF($A10="", "", INDEX(Summary!P$7:P$21, MATCH($A10, Summary!$C$7:$C$21,0)))</f>
        <v>741.52762325637173</v>
      </c>
      <c r="Q10" s="8">
        <f ca="1">IF($A10="", "", INDEX(Summary!Q$7:Q$21, MATCH($A10, Summary!$C$7:$C$21,0)))</f>
        <v>775.59530717493647</v>
      </c>
      <c r="S10" s="9">
        <f t="shared" ca="1" si="0"/>
        <v>3947.5491254772724</v>
      </c>
    </row>
    <row r="11" spans="1:25" x14ac:dyDescent="0.2">
      <c r="A11" s="100">
        <f t="shared" ca="1" si="1"/>
        <v>5</v>
      </c>
      <c r="B11" s="8" t="str">
        <f ca="1">IF(A11="", "", INDEX(Summary!H$7:H$21, MATCH($A11, Summary!$C$7:$C$21,0)))</f>
        <v>5 minute settlement</v>
      </c>
      <c r="G11" s="21"/>
      <c r="H11" s="5"/>
      <c r="K11" s="8"/>
      <c r="L11" s="8"/>
      <c r="M11" s="8">
        <f ca="1">IF($A11="", "", INDEX(Summary!M$7:M$21, MATCH($A11, Summary!$C$7:$C$21,0)))</f>
        <v>547.14678092973338</v>
      </c>
      <c r="N11" s="8">
        <f ca="1">IF($A11="", "", INDEX(Summary!N$7:N$21, MATCH($A11, Summary!$C$7:$C$21,0)))</f>
        <v>585.43135839940146</v>
      </c>
      <c r="O11" s="8">
        <f ca="1">IF($A11="", "", INDEX(Summary!O$7:O$21, MATCH($A11, Summary!$C$7:$C$21,0)))</f>
        <v>729.10218099269446</v>
      </c>
      <c r="P11" s="8">
        <f ca="1">IF($A11="", "", INDEX(Summary!P$7:P$21, MATCH($A11, Summary!$C$7:$C$21,0)))</f>
        <v>851.67080765779588</v>
      </c>
      <c r="Q11" s="8">
        <f ca="1">IF($A11="", "", INDEX(Summary!Q$7:Q$21, MATCH($A11, Summary!$C$7:$C$21,0)))</f>
        <v>984.07458393237641</v>
      </c>
      <c r="S11" s="9">
        <f t="shared" ca="1" si="0"/>
        <v>3697.4257119120016</v>
      </c>
    </row>
    <row r="12" spans="1:25" x14ac:dyDescent="0.2">
      <c r="A12" s="100">
        <f t="shared" ca="1" si="1"/>
        <v>6</v>
      </c>
      <c r="B12" s="8" t="str">
        <f ca="1">IF(A12="", "", INDEX(Summary!H$7:H$21, MATCH($A12, Summary!$C$7:$C$21,0)))</f>
        <v>Demand management programs</v>
      </c>
      <c r="H12" s="5"/>
      <c r="K12" s="8"/>
      <c r="L12" s="8"/>
      <c r="M12" s="8">
        <f ca="1">IF($A12="", "", INDEX(Summary!M$7:M$21, MATCH($A12, Summary!$C$7:$C$21,0)))</f>
        <v>831.37273334415818</v>
      </c>
      <c r="N12" s="8">
        <f ca="1">IF($A12="", "", INDEX(Summary!N$7:N$21, MATCH($A12, Summary!$C$7:$C$21,0)))</f>
        <v>557.22257719052061</v>
      </c>
      <c r="O12" s="8">
        <f ca="1">IF($A12="", "", INDEX(Summary!O$7:O$21, MATCH($A12, Summary!$C$7:$C$21,0)))</f>
        <v>564.4485914277725</v>
      </c>
      <c r="P12" s="8">
        <f ca="1">IF($A12="", "", INDEX(Summary!P$7:P$21, MATCH($A12, Summary!$C$7:$C$21,0)))</f>
        <v>573.98723419791406</v>
      </c>
      <c r="Q12" s="8">
        <f ca="1">IF($A12="", "", INDEX(Summary!Q$7:Q$21, MATCH($A12, Summary!$C$7:$C$21,0)))</f>
        <v>578.43026898688129</v>
      </c>
      <c r="S12" s="9">
        <f t="shared" ca="1" si="0"/>
        <v>3105.4614051472468</v>
      </c>
    </row>
    <row r="13" spans="1:25" x14ac:dyDescent="0.2">
      <c r="A13" s="100" t="str">
        <f t="shared" ca="1" si="1"/>
        <v/>
      </c>
      <c r="B13" s="8" t="str">
        <f ca="1">IF(A13="", "", INDEX(Summary!H$7:H$21, MATCH($A13, Summary!$C$7:$C$21,0)))</f>
        <v/>
      </c>
      <c r="H13" s="5"/>
      <c r="K13" s="8"/>
      <c r="L13" s="8"/>
      <c r="M13" s="8" t="str">
        <f ca="1">IF($A13="", "", INDEX(Summary!M$7:M$21, MATCH($A13, Summary!$C$7:$C$21,0)))</f>
        <v/>
      </c>
      <c r="N13" s="8" t="str">
        <f ca="1">IF($A13="", "", INDEX(Summary!N$7:N$21, MATCH($A13, Summary!$C$7:$C$21,0)))</f>
        <v/>
      </c>
      <c r="O13" s="8" t="str">
        <f ca="1">IF($A13="", "", INDEX(Summary!O$7:O$21, MATCH($A13, Summary!$C$7:$C$21,0)))</f>
        <v/>
      </c>
      <c r="P13" s="8" t="str">
        <f ca="1">IF($A13="", "", INDEX(Summary!P$7:P$21, MATCH($A13, Summary!$C$7:$C$21,0)))</f>
        <v/>
      </c>
      <c r="Q13" s="8" t="str">
        <f ca="1">IF($A13="", "", INDEX(Summary!Q$7:Q$21, MATCH($A13, Summary!$C$7:$C$21,0)))</f>
        <v/>
      </c>
      <c r="S13" s="9">
        <f t="shared" ca="1" si="0"/>
        <v>0</v>
      </c>
    </row>
    <row r="14" spans="1:25" x14ac:dyDescent="0.2">
      <c r="A14" s="100" t="str">
        <f t="shared" ca="1" si="1"/>
        <v/>
      </c>
      <c r="B14" s="8" t="str">
        <f ca="1">IF(A14="", "", INDEX(Summary!H$7:H$21, MATCH($A14, Summary!$C$7:$C$21,0)))</f>
        <v/>
      </c>
      <c r="H14" s="5"/>
      <c r="M14" s="8" t="str">
        <f ca="1">IF($A14="", "", INDEX(Summary!M$7:M$21, MATCH($A14, Summary!$C$7:$C$21,0)))</f>
        <v/>
      </c>
      <c r="N14" s="8" t="str">
        <f ca="1">IF($A14="", "", INDEX(Summary!N$7:N$21, MATCH($A14, Summary!$C$7:$C$21,0)))</f>
        <v/>
      </c>
      <c r="O14" s="8" t="str">
        <f ca="1">IF($A14="", "", INDEX(Summary!O$7:O$21, MATCH($A14, Summary!$C$7:$C$21,0)))</f>
        <v/>
      </c>
      <c r="P14" s="8" t="str">
        <f ca="1">IF($A14="", "", INDEX(Summary!P$7:P$21, MATCH($A14, Summary!$C$7:$C$21,0)))</f>
        <v/>
      </c>
      <c r="Q14" s="8" t="str">
        <f ca="1">IF($A14="", "", INDEX(Summary!Q$7:Q$21, MATCH($A14, Summary!$C$7:$C$21,0)))</f>
        <v/>
      </c>
      <c r="S14" s="9">
        <f t="shared" ca="1" si="0"/>
        <v>0</v>
      </c>
    </row>
    <row r="15" spans="1:25" x14ac:dyDescent="0.2">
      <c r="A15" s="100" t="str">
        <f t="shared" ca="1" si="1"/>
        <v/>
      </c>
      <c r="B15" s="8" t="str">
        <f ca="1">IF(A15="", "", INDEX(Summary!H$7:H$21, MATCH($A15, Summary!$C$7:$C$21,0)))</f>
        <v/>
      </c>
      <c r="H15" s="5"/>
      <c r="K15" s="8"/>
      <c r="L15" s="8"/>
      <c r="M15" s="8" t="str">
        <f ca="1">IF($A15="", "", INDEX(Summary!M$7:M$21, MATCH($A15, Summary!$C$7:$C$21,0)))</f>
        <v/>
      </c>
      <c r="N15" s="8" t="str">
        <f ca="1">IF($A15="", "", INDEX(Summary!N$7:N$21, MATCH($A15, Summary!$C$7:$C$21,0)))</f>
        <v/>
      </c>
      <c r="O15" s="8" t="str">
        <f ca="1">IF($A15="", "", INDEX(Summary!O$7:O$21, MATCH($A15, Summary!$C$7:$C$21,0)))</f>
        <v/>
      </c>
      <c r="P15" s="8" t="str">
        <f ca="1">IF($A15="", "", INDEX(Summary!P$7:P$21, MATCH($A15, Summary!$C$7:$C$21,0)))</f>
        <v/>
      </c>
      <c r="Q15" s="8" t="str">
        <f ca="1">IF($A15="", "", INDEX(Summary!Q$7:Q$21, MATCH($A15, Summary!$C$7:$C$21,0)))</f>
        <v/>
      </c>
      <c r="S15" s="9">
        <f t="shared" ca="1" si="0"/>
        <v>0</v>
      </c>
    </row>
    <row r="16" spans="1:25" x14ac:dyDescent="0.2">
      <c r="A16" s="52" t="str">
        <f t="shared" ca="1" si="1"/>
        <v/>
      </c>
      <c r="B16" s="8" t="str">
        <f ca="1">IF(A16="", "", INDEX(Summary!H$7:H$21, MATCH($A16, Summary!$C$7:$C$21,0)))</f>
        <v/>
      </c>
      <c r="H16" s="5"/>
      <c r="K16" s="8"/>
      <c r="L16" s="8"/>
      <c r="M16" s="8" t="str">
        <f ca="1">IF($A16="", "", INDEX(Summary!M$7:M$21, MATCH($A16, Summary!$C$7:$C$21,0)))</f>
        <v/>
      </c>
      <c r="N16" s="8" t="str">
        <f ca="1">IF($A16="", "", INDEX(Summary!N$7:N$21, MATCH($A16, Summary!$C$7:$C$21,0)))</f>
        <v/>
      </c>
      <c r="O16" s="8" t="str">
        <f ca="1">IF($A16="", "", INDEX(Summary!O$7:O$21, MATCH($A16, Summary!$C$7:$C$21,0)))</f>
        <v/>
      </c>
      <c r="P16" s="8" t="str">
        <f ca="1">IF($A16="", "", INDEX(Summary!P$7:P$21, MATCH($A16, Summary!$C$7:$C$21,0)))</f>
        <v/>
      </c>
      <c r="Q16" s="8" t="str">
        <f ca="1">IF($A16="", "", INDEX(Summary!Q$7:Q$21, MATCH($A16, Summary!$C$7:$C$21,0)))</f>
        <v/>
      </c>
      <c r="S16" s="9">
        <f t="shared" ca="1" si="0"/>
        <v>0</v>
      </c>
    </row>
    <row r="17" spans="1:23" x14ac:dyDescent="0.2">
      <c r="A17" s="52"/>
      <c r="B17" s="8"/>
      <c r="H17" s="5"/>
      <c r="K17" s="8"/>
      <c r="L17" s="8"/>
      <c r="M17" s="8"/>
      <c r="N17" s="8"/>
      <c r="O17" s="8"/>
      <c r="P17" s="8"/>
      <c r="Q17" s="8"/>
      <c r="S17" s="9"/>
    </row>
    <row r="18" spans="1:23" x14ac:dyDescent="0.2">
      <c r="A18" s="52"/>
      <c r="H18" s="5"/>
      <c r="K18" s="8"/>
      <c r="L18" s="8"/>
    </row>
    <row r="19" spans="1:23" x14ac:dyDescent="0.2">
      <c r="A19" s="52"/>
      <c r="H19" s="5"/>
      <c r="K19" s="8"/>
      <c r="L19" s="8"/>
      <c r="M19" s="88"/>
      <c r="N19" s="88"/>
      <c r="O19" s="88"/>
      <c r="P19" s="88"/>
      <c r="Q19" s="88"/>
    </row>
    <row r="20" spans="1:23" ht="13.5" thickBot="1" x14ac:dyDescent="0.25">
      <c r="A20" s="52"/>
      <c r="B20" s="20" t="s">
        <v>3</v>
      </c>
      <c r="C20" s="20"/>
      <c r="D20" s="20"/>
      <c r="E20" s="19"/>
      <c r="F20" s="19"/>
      <c r="G20" s="19"/>
      <c r="H20" s="19"/>
      <c r="I20" s="19"/>
      <c r="J20" s="19"/>
      <c r="K20" s="19"/>
      <c r="L20" s="19"/>
      <c r="M20" s="20">
        <f ca="1">SUM(M7:M16)</f>
        <v>13845.16772170657</v>
      </c>
      <c r="N20" s="20">
        <f ca="1">SUM(N7:N16)</f>
        <v>10688.419118829512</v>
      </c>
      <c r="O20" s="20">
        <f ca="1">SUM(O7:O16)</f>
        <v>11093.360105935928</v>
      </c>
      <c r="P20" s="20">
        <f ca="1">SUM(P7:P16)</f>
        <v>11184.023340759291</v>
      </c>
      <c r="Q20" s="20">
        <f ca="1">SUM(Q7:Q16)</f>
        <v>11391.50372748874</v>
      </c>
      <c r="R20" s="4"/>
      <c r="S20" s="20">
        <f ca="1">SUM(M20:Q20)</f>
        <v>58202.474014720035</v>
      </c>
      <c r="W20" s="8"/>
    </row>
    <row r="21" spans="1:23" ht="13.5" thickTop="1" x14ac:dyDescent="0.2">
      <c r="K21" s="8"/>
      <c r="L21" s="8"/>
    </row>
    <row r="22" spans="1:23" x14ac:dyDescent="0.2">
      <c r="K22" s="8"/>
      <c r="L22" s="8"/>
      <c r="M22" s="24"/>
      <c r="N22" s="24"/>
      <c r="O22" s="24"/>
      <c r="P22" s="24"/>
      <c r="Q22" s="24"/>
    </row>
    <row r="23" spans="1:23" x14ac:dyDescent="0.2">
      <c r="K23" s="8"/>
      <c r="L23" s="8"/>
      <c r="M23" s="8"/>
      <c r="N23" s="8"/>
      <c r="O23" s="8"/>
      <c r="P23" s="8"/>
      <c r="Q23" s="8"/>
      <c r="R23" s="8"/>
      <c r="S23" s="8"/>
    </row>
    <row r="24" spans="1:23" x14ac:dyDescent="0.2">
      <c r="K24" s="8"/>
      <c r="L24" s="8"/>
      <c r="M24" s="8"/>
      <c r="N24" s="8"/>
      <c r="O24" s="8"/>
      <c r="P24" s="8"/>
      <c r="Q24" s="8"/>
      <c r="R24" s="8"/>
      <c r="S24" s="8"/>
    </row>
    <row r="25" spans="1:23" x14ac:dyDescent="0.2">
      <c r="K25" s="8"/>
      <c r="L25" s="8"/>
      <c r="M25" s="8"/>
      <c r="N25" s="8"/>
      <c r="O25" s="8"/>
      <c r="P25" s="8"/>
      <c r="Q25" s="8"/>
    </row>
    <row r="26" spans="1:23" x14ac:dyDescent="0.2">
      <c r="K26" s="8"/>
      <c r="L26" s="8"/>
      <c r="M26" s="8"/>
      <c r="N26" s="8"/>
      <c r="O26" s="8"/>
      <c r="P26" s="8"/>
      <c r="Q26" s="8"/>
    </row>
    <row r="27" spans="1:23" x14ac:dyDescent="0.2">
      <c r="K27" s="8"/>
      <c r="L27" s="8"/>
      <c r="M27" s="8"/>
      <c r="N27" s="8"/>
      <c r="O27" s="8"/>
      <c r="P27" s="8"/>
      <c r="Q27" s="8"/>
    </row>
    <row r="28" spans="1:23" x14ac:dyDescent="0.2">
      <c r="K28" s="8"/>
      <c r="L28" s="8"/>
      <c r="M28" s="8"/>
      <c r="N28" s="8"/>
      <c r="O28" s="8"/>
      <c r="P28" s="8"/>
      <c r="Q28" s="8"/>
    </row>
    <row r="29" spans="1:23" x14ac:dyDescent="0.2">
      <c r="K29" s="8"/>
      <c r="L29" s="8"/>
      <c r="M29" s="8"/>
      <c r="N29" s="8"/>
      <c r="O29" s="8"/>
      <c r="P29" s="8"/>
      <c r="Q29" s="8"/>
    </row>
    <row r="30" spans="1:23" x14ac:dyDescent="0.2">
      <c r="K30" s="8"/>
      <c r="L30" s="8"/>
      <c r="M30" s="8"/>
      <c r="N30" s="8"/>
      <c r="O30" s="8"/>
      <c r="P30" s="8"/>
      <c r="Q30" s="8"/>
    </row>
    <row r="31" spans="1:23" x14ac:dyDescent="0.2">
      <c r="K31" s="8"/>
      <c r="L31" s="8"/>
      <c r="M31" s="8"/>
      <c r="N31" s="8"/>
      <c r="O31" s="8"/>
      <c r="P31" s="8"/>
      <c r="Q31" s="8"/>
    </row>
    <row r="32" spans="1:23" x14ac:dyDescent="0.2">
      <c r="K32" s="8"/>
      <c r="L32" s="8"/>
      <c r="M32" s="8"/>
      <c r="N32" s="8"/>
      <c r="O32" s="8"/>
      <c r="P32" s="8"/>
      <c r="Q32" s="8"/>
    </row>
    <row r="33" spans="11:17" x14ac:dyDescent="0.2">
      <c r="K33" s="8"/>
      <c r="L33" s="8"/>
      <c r="M33" s="8"/>
      <c r="N33" s="8"/>
      <c r="O33" s="8"/>
      <c r="P33" s="8"/>
      <c r="Q33" s="8"/>
    </row>
    <row r="34" spans="11:17" x14ac:dyDescent="0.2">
      <c r="K34" s="8"/>
      <c r="L34" s="8"/>
      <c r="M34" s="8"/>
      <c r="N34" s="8"/>
      <c r="O34" s="8"/>
      <c r="P34" s="8"/>
      <c r="Q34" s="8"/>
    </row>
    <row r="35" spans="11:17" x14ac:dyDescent="0.2">
      <c r="K35" s="8"/>
      <c r="L35" s="8"/>
      <c r="M35" s="8"/>
      <c r="N35" s="8"/>
      <c r="O35" s="8"/>
      <c r="P35" s="8"/>
      <c r="Q35" s="8"/>
    </row>
    <row r="36" spans="11:17" x14ac:dyDescent="0.2">
      <c r="K36" s="8"/>
      <c r="L36" s="8"/>
      <c r="M36" s="8"/>
      <c r="N36" s="8"/>
      <c r="O36" s="8"/>
      <c r="P36" s="8"/>
      <c r="Q36" s="8"/>
    </row>
    <row r="37" spans="11:17" x14ac:dyDescent="0.2">
      <c r="K37" s="8"/>
      <c r="L37" s="8"/>
      <c r="M37" s="8"/>
      <c r="N37" s="8"/>
      <c r="O37" s="8"/>
      <c r="P37" s="8"/>
      <c r="Q37" s="8"/>
    </row>
    <row r="38" spans="11:17" x14ac:dyDescent="0.2">
      <c r="K38" s="8"/>
      <c r="L38" s="8"/>
      <c r="M38" s="8"/>
      <c r="N38" s="8"/>
      <c r="O38" s="8"/>
      <c r="P38" s="8"/>
      <c r="Q38" s="8"/>
    </row>
    <row r="39" spans="11:17" x14ac:dyDescent="0.2">
      <c r="K39" s="8"/>
      <c r="L39" s="8"/>
    </row>
    <row r="40" spans="11:17" x14ac:dyDescent="0.2">
      <c r="K40" s="8"/>
      <c r="L40" s="8"/>
      <c r="M40" s="8"/>
      <c r="N40" s="8"/>
      <c r="O40" s="8"/>
      <c r="P40" s="8"/>
      <c r="Q40" s="8"/>
    </row>
    <row r="41" spans="11:17" x14ac:dyDescent="0.2">
      <c r="K41" s="8"/>
      <c r="L41" s="8"/>
      <c r="M41" s="8"/>
      <c r="N41" s="8"/>
      <c r="O41" s="8"/>
      <c r="P41" s="8"/>
      <c r="Q41" s="8"/>
    </row>
    <row r="42" spans="11:17" x14ac:dyDescent="0.2">
      <c r="K42" s="8"/>
      <c r="L42" s="8"/>
      <c r="M42" s="8"/>
      <c r="N42" s="8"/>
      <c r="O42" s="8"/>
      <c r="P42" s="8"/>
      <c r="Q42" s="8"/>
    </row>
    <row r="43" spans="11:17" x14ac:dyDescent="0.2">
      <c r="M43" s="8"/>
      <c r="N43" s="8"/>
      <c r="O43" s="8"/>
      <c r="P43" s="8"/>
      <c r="Q43" s="8"/>
    </row>
    <row r="44" spans="11:17" x14ac:dyDescent="0.2">
      <c r="M44" s="8"/>
      <c r="N44" s="8"/>
      <c r="O44" s="8"/>
      <c r="P44" s="8"/>
      <c r="Q44" s="8"/>
    </row>
    <row r="45" spans="11:17" x14ac:dyDescent="0.2">
      <c r="M45" s="8"/>
      <c r="N45" s="8"/>
      <c r="O45" s="8"/>
      <c r="P45" s="8"/>
      <c r="Q45" s="8"/>
    </row>
    <row r="46" spans="11:17" x14ac:dyDescent="0.2">
      <c r="M46" s="8"/>
      <c r="N46" s="8"/>
      <c r="O46" s="8"/>
      <c r="P46" s="8"/>
      <c r="Q46" s="8"/>
    </row>
    <row r="47" spans="11:17" x14ac:dyDescent="0.2">
      <c r="M47" s="8"/>
      <c r="N47" s="8"/>
      <c r="O47" s="8"/>
      <c r="P47" s="8"/>
      <c r="Q47" s="8"/>
    </row>
    <row r="48" spans="11:17" x14ac:dyDescent="0.2">
      <c r="M48" s="8"/>
      <c r="N48" s="8"/>
      <c r="O48" s="8"/>
      <c r="P48" s="8"/>
      <c r="Q48" s="8"/>
    </row>
    <row r="49" spans="13:17" x14ac:dyDescent="0.2">
      <c r="M49" s="8"/>
      <c r="N49" s="8"/>
      <c r="O49" s="8"/>
      <c r="P49" s="8"/>
      <c r="Q49" s="8"/>
    </row>
    <row r="50" spans="13:17" x14ac:dyDescent="0.2">
      <c r="M50" s="8"/>
      <c r="N50" s="8"/>
      <c r="O50" s="8"/>
      <c r="P50" s="8"/>
      <c r="Q50" s="8"/>
    </row>
    <row r="51" spans="13:17" x14ac:dyDescent="0.2">
      <c r="M51" s="8"/>
      <c r="N51" s="8"/>
      <c r="O51" s="8"/>
      <c r="P51" s="8"/>
      <c r="Q51" s="8"/>
    </row>
  </sheetData>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Z38"/>
  <sheetViews>
    <sheetView showGridLines="0" zoomScale="80" zoomScaleNormal="80" workbookViewId="0">
      <pane xSplit="7" ySplit="5" topLeftCell="H6" activePane="bottomRight" state="frozen"/>
      <selection pane="topRight" activeCell="H1" sqref="H1"/>
      <selection pane="bottomLeft" activeCell="A6" sqref="A6"/>
      <selection pane="bottomRight" activeCell="H6" sqref="H6"/>
    </sheetView>
  </sheetViews>
  <sheetFormatPr defaultColWidth="9" defaultRowHeight="12.75" x14ac:dyDescent="0.2"/>
  <cols>
    <col min="1" max="1" width="3.125" style="1" customWidth="1"/>
    <col min="2" max="2" width="8.5" style="1" customWidth="1"/>
    <col min="3" max="3" width="5.875" style="54" customWidth="1"/>
    <col min="4" max="5" width="2.25" style="1" customWidth="1"/>
    <col min="6" max="6" width="4.125" style="1" customWidth="1"/>
    <col min="7" max="7" width="17.625" style="1" customWidth="1"/>
    <col min="8" max="9" width="2.5" style="1" customWidth="1"/>
    <col min="10" max="12" width="9" style="1" customWidth="1"/>
    <col min="13" max="17" width="10.25" style="1" customWidth="1"/>
    <col min="18" max="18" width="2.375" style="1" customWidth="1"/>
    <col min="19" max="20" width="9" style="1"/>
    <col min="21" max="21" width="9.625" style="1" bestFit="1" customWidth="1"/>
    <col min="22" max="16384" width="9" style="1"/>
  </cols>
  <sheetData>
    <row r="1" spans="1:26" ht="21" x14ac:dyDescent="0.35">
      <c r="A1" s="3" t="s">
        <v>28</v>
      </c>
    </row>
    <row r="2" spans="1:26" ht="18.75" x14ac:dyDescent="0.3">
      <c r="A2" s="7" t="str">
        <f ca="1">RIGHT(CELL("filename",A1),LEN(CELL("filename",A1))-FIND("]",CELL("filename",A1),1))</f>
        <v>Summary</v>
      </c>
      <c r="P2" s="85"/>
    </row>
    <row r="3" spans="1:26" x14ac:dyDescent="0.2">
      <c r="A3" s="35"/>
      <c r="M3" s="89" t="str">
        <f>SUBSTITUTE(ADDRESS(1,COLUMN(M5),4),"1","")</f>
        <v>M</v>
      </c>
      <c r="N3" s="89" t="str">
        <f>SUBSTITUTE(ADDRESS(1,COLUMN(N5),4),"1","")</f>
        <v>N</v>
      </c>
      <c r="O3" s="89" t="str">
        <f>SUBSTITUTE(ADDRESS(1,COLUMN(O5),4),"1","")</f>
        <v>O</v>
      </c>
      <c r="P3" s="89" t="str">
        <f>SUBSTITUTE(ADDRESS(1,COLUMN(P5),4),"1","")</f>
        <v>P</v>
      </c>
      <c r="Q3" s="89" t="str">
        <f>SUBSTITUTE(ADDRESS(1,COLUMN(Q5),4),"1","")</f>
        <v>Q</v>
      </c>
    </row>
    <row r="4" spans="1:26" x14ac:dyDescent="0.2">
      <c r="L4" s="31"/>
      <c r="M4" s="31"/>
      <c r="N4" s="31"/>
      <c r="O4" s="31"/>
      <c r="P4" s="31"/>
      <c r="Q4" s="31"/>
    </row>
    <row r="5" spans="1:26" x14ac:dyDescent="0.2">
      <c r="A5" s="86"/>
      <c r="B5" s="86"/>
      <c r="C5" s="90" t="s">
        <v>52</v>
      </c>
      <c r="D5" s="86"/>
      <c r="E5" s="86"/>
      <c r="F5" s="86" t="s">
        <v>53</v>
      </c>
      <c r="G5" s="86"/>
      <c r="H5" s="86" t="s">
        <v>8</v>
      </c>
      <c r="I5" s="86"/>
      <c r="J5" s="86"/>
      <c r="K5" s="2"/>
      <c r="L5" s="6"/>
      <c r="M5" s="6" t="s">
        <v>16</v>
      </c>
      <c r="N5" s="6" t="s">
        <v>17</v>
      </c>
      <c r="O5" s="6" t="s">
        <v>18</v>
      </c>
      <c r="P5" s="6" t="s">
        <v>19</v>
      </c>
      <c r="Q5" s="6" t="s">
        <v>20</v>
      </c>
      <c r="S5" s="6" t="s">
        <v>44</v>
      </c>
    </row>
    <row r="7" spans="1:26" x14ac:dyDescent="0.2">
      <c r="B7" s="91"/>
      <c r="C7" s="92">
        <f t="shared" ref="C7:C12" ca="1" si="0">RANK(S7, $S$7:$S$12, 0)</f>
        <v>5</v>
      </c>
      <c r="D7" s="91"/>
      <c r="F7" s="1" t="str">
        <f ca="1">'5 minute settlement'!$A2</f>
        <v>5 minute settlement</v>
      </c>
      <c r="H7" s="1" t="str">
        <f>'5 minute settlement'!$A3</f>
        <v>5 minute settlement</v>
      </c>
      <c r="M7" s="8">
        <f ca="1">INDEX(INDIRECT("'"&amp;$F7&amp;"'!"&amp;M$3&amp;":"&amp;M$3), MATCH("Total "&amp;$F7, INDIRECT("'"&amp;$F7&amp;"'!b:b"), 0))</f>
        <v>547.14678092973338</v>
      </c>
      <c r="N7" s="8">
        <f t="shared" ref="N7:Q12" ca="1" si="1">INDEX(INDIRECT("'"&amp;$F7&amp;"'!"&amp;N$3&amp;":"&amp;N$3), MATCH("Total "&amp;$F7, INDIRECT("'"&amp;$F7&amp;"'!b:b"), 0))</f>
        <v>585.43135839940146</v>
      </c>
      <c r="O7" s="8">
        <f t="shared" ca="1" si="1"/>
        <v>729.10218099269446</v>
      </c>
      <c r="P7" s="8">
        <f t="shared" ca="1" si="1"/>
        <v>851.67080765779588</v>
      </c>
      <c r="Q7" s="8">
        <f t="shared" ca="1" si="1"/>
        <v>984.07458393237641</v>
      </c>
      <c r="S7" s="9">
        <f t="shared" ref="S7:S12" ca="1" si="2">SUM(M7:Q7)</f>
        <v>3697.4257119120016</v>
      </c>
      <c r="T7" s="8"/>
    </row>
    <row r="8" spans="1:26" x14ac:dyDescent="0.2">
      <c r="B8" s="91"/>
      <c r="C8" s="92">
        <f t="shared" ca="1" si="0"/>
        <v>1</v>
      </c>
      <c r="D8" s="91"/>
      <c r="F8" s="1" t="str">
        <f ca="1">'Security of critical infr'!$A2</f>
        <v>Security of critical infr</v>
      </c>
      <c r="H8" s="1" t="str">
        <f>'Security of critical infr'!$A3</f>
        <v>Security of critical infrastructure</v>
      </c>
      <c r="M8" s="8">
        <f t="shared" ref="M8:M12" ca="1" si="3">INDEX(INDIRECT("'"&amp;$F8&amp;"'!"&amp;M$3&amp;":"&amp;M$3), MATCH("Total "&amp;$F8, INDIRECT("'"&amp;$F8&amp;"'!b:b"), 0))</f>
        <v>8535.8479086709431</v>
      </c>
      <c r="N8" s="8">
        <f t="shared" ca="1" si="1"/>
        <v>5759.9025732741584</v>
      </c>
      <c r="O8" s="8">
        <f t="shared" ca="1" si="1"/>
        <v>5697.4592032624078</v>
      </c>
      <c r="P8" s="8">
        <f t="shared" ca="1" si="1"/>
        <v>5559.9701886417124</v>
      </c>
      <c r="Q8" s="8">
        <f t="shared" ca="1" si="1"/>
        <v>5603.0079767700063</v>
      </c>
      <c r="S8" s="9">
        <f t="shared" ca="1" si="2"/>
        <v>31156.18785061923</v>
      </c>
      <c r="T8" s="8"/>
      <c r="U8" s="87"/>
      <c r="V8" s="87"/>
      <c r="W8" s="87"/>
      <c r="X8" s="87"/>
      <c r="Y8" s="87"/>
      <c r="Z8" s="87"/>
    </row>
    <row r="9" spans="1:26" x14ac:dyDescent="0.2">
      <c r="B9" s="91"/>
      <c r="C9" s="92">
        <f t="shared" ca="1" si="0"/>
        <v>6</v>
      </c>
      <c r="D9" s="91"/>
      <c r="F9" s="1" t="s">
        <v>55</v>
      </c>
      <c r="H9" s="1" t="str">
        <f>'Demand management'!$A3</f>
        <v>Demand management programs</v>
      </c>
      <c r="M9" s="8">
        <f t="shared" ca="1" si="3"/>
        <v>831.37273334415818</v>
      </c>
      <c r="N9" s="8">
        <f t="shared" ca="1" si="1"/>
        <v>557.22257719052061</v>
      </c>
      <c r="O9" s="8">
        <f t="shared" ca="1" si="1"/>
        <v>564.4485914277725</v>
      </c>
      <c r="P9" s="8">
        <f t="shared" ca="1" si="1"/>
        <v>573.98723419791406</v>
      </c>
      <c r="Q9" s="8">
        <f t="shared" ca="1" si="1"/>
        <v>578.43026898688129</v>
      </c>
      <c r="S9" s="9">
        <f t="shared" ca="1" si="2"/>
        <v>3105.4614051472468</v>
      </c>
      <c r="T9" s="8"/>
      <c r="U9" s="87"/>
      <c r="V9" s="87"/>
      <c r="W9" s="87"/>
      <c r="X9" s="87"/>
      <c r="Y9" s="87"/>
      <c r="Z9" s="87"/>
    </row>
    <row r="10" spans="1:26" x14ac:dyDescent="0.2">
      <c r="B10" s="91"/>
      <c r="C10" s="92">
        <f t="shared" ca="1" si="0"/>
        <v>4</v>
      </c>
      <c r="D10" s="91"/>
      <c r="F10" s="1" t="str">
        <f>'Solar enablement'!A2</f>
        <v>Solar enablement</v>
      </c>
      <c r="H10" s="1" t="str">
        <f>'Solar enablement'!A3</f>
        <v>Solar enablement</v>
      </c>
      <c r="M10" s="8">
        <f ca="1">INDEX(INDIRECT("'"&amp;$F10&amp;"'!"&amp;M$3&amp;":"&amp;M$3), MATCH("Total "&amp;$F10, INDIRECT("'"&amp;$F10&amp;"'!b:b"), 0))</f>
        <v>891.8732834194883</v>
      </c>
      <c r="N10" s="8">
        <f t="shared" ca="1" si="1"/>
        <v>754.78456023919023</v>
      </c>
      <c r="O10" s="8">
        <f t="shared" ca="1" si="1"/>
        <v>783.76835138728563</v>
      </c>
      <c r="P10" s="8">
        <f t="shared" ca="1" si="1"/>
        <v>741.52762325637173</v>
      </c>
      <c r="Q10" s="8">
        <f t="shared" ca="1" si="1"/>
        <v>775.59530717493647</v>
      </c>
      <c r="S10" s="9">
        <f ca="1">SUM(M10:Q10)</f>
        <v>3947.5491254772724</v>
      </c>
      <c r="T10" s="8"/>
    </row>
    <row r="11" spans="1:26" x14ac:dyDescent="0.2">
      <c r="B11" s="91"/>
      <c r="C11" s="92">
        <f t="shared" ca="1" si="0"/>
        <v>2</v>
      </c>
      <c r="D11" s="91"/>
      <c r="F11" s="12" t="str">
        <f ca="1">'Increasing insurance premiums'!$A2</f>
        <v>Increasing insurance premiums</v>
      </c>
      <c r="H11" s="1" t="str">
        <f ca="1">F11</f>
        <v>Increasing insurance premiums</v>
      </c>
      <c r="M11" s="8">
        <f t="shared" ca="1" si="3"/>
        <v>2350.5349371161624</v>
      </c>
      <c r="N11" s="8">
        <f t="shared" ca="1" si="1"/>
        <v>2350.5349371161624</v>
      </c>
      <c r="O11" s="8">
        <f t="shared" ca="1" si="1"/>
        <v>2350.5349371161624</v>
      </c>
      <c r="P11" s="8">
        <f t="shared" ca="1" si="1"/>
        <v>2350.5349371161624</v>
      </c>
      <c r="Q11" s="8">
        <f t="shared" ca="1" si="1"/>
        <v>2350.5349371161624</v>
      </c>
      <c r="S11" s="9">
        <f t="shared" ca="1" si="2"/>
        <v>11752.674685580812</v>
      </c>
      <c r="T11" s="8"/>
    </row>
    <row r="12" spans="1:26" x14ac:dyDescent="0.2">
      <c r="B12" s="91"/>
      <c r="C12" s="92">
        <f t="shared" ca="1" si="0"/>
        <v>3</v>
      </c>
      <c r="D12" s="91"/>
      <c r="F12" s="1" t="str">
        <f ca="1">'IT cloud solutions'!$A2</f>
        <v>IT cloud solutions</v>
      </c>
      <c r="H12" s="12" t="str">
        <f>'IT cloud solutions'!$A3</f>
        <v>IT cloud solutions</v>
      </c>
      <c r="M12" s="8">
        <f t="shared" ca="1" si="3"/>
        <v>688.39207822608387</v>
      </c>
      <c r="N12" s="8">
        <f t="shared" ca="1" si="1"/>
        <v>680.54311261007854</v>
      </c>
      <c r="O12" s="8">
        <f t="shared" ca="1" si="1"/>
        <v>968.04684174960494</v>
      </c>
      <c r="P12" s="8">
        <f t="shared" ca="1" si="1"/>
        <v>1106.332549889335</v>
      </c>
      <c r="Q12" s="8">
        <f t="shared" ca="1" si="1"/>
        <v>1099.860653508375</v>
      </c>
      <c r="S12" s="9">
        <f t="shared" ca="1" si="2"/>
        <v>4543.1752359834773</v>
      </c>
    </row>
    <row r="13" spans="1:26" x14ac:dyDescent="0.2">
      <c r="B13" s="91"/>
      <c r="C13" s="92"/>
      <c r="D13" s="91"/>
      <c r="H13" s="12" t="str">
        <f>""</f>
        <v/>
      </c>
      <c r="M13" s="8"/>
      <c r="N13" s="8"/>
      <c r="O13" s="8"/>
      <c r="P13" s="8"/>
      <c r="Q13" s="8"/>
      <c r="S13" s="9"/>
    </row>
    <row r="14" spans="1:26" x14ac:dyDescent="0.2">
      <c r="B14" s="91"/>
      <c r="C14" s="92"/>
      <c r="D14" s="91"/>
      <c r="H14" s="12" t="str">
        <f>""</f>
        <v/>
      </c>
    </row>
    <row r="15" spans="1:26" x14ac:dyDescent="0.2">
      <c r="B15" s="91"/>
      <c r="C15" s="92"/>
      <c r="D15" s="91"/>
      <c r="H15" s="12" t="str">
        <f>""</f>
        <v/>
      </c>
      <c r="M15" s="88"/>
      <c r="N15" s="88"/>
      <c r="O15" s="88"/>
      <c r="P15" s="88"/>
      <c r="Q15" s="88"/>
      <c r="R15" s="4"/>
      <c r="S15" s="88"/>
    </row>
    <row r="16" spans="1:26" ht="13.5" thickBot="1" x14ac:dyDescent="0.25">
      <c r="B16" s="91"/>
      <c r="C16" s="92"/>
      <c r="D16" s="91"/>
      <c r="F16" s="19" t="s">
        <v>54</v>
      </c>
      <c r="G16" s="19"/>
      <c r="H16" s="19"/>
      <c r="I16" s="19"/>
      <c r="J16" s="19"/>
      <c r="K16" s="19"/>
      <c r="L16" s="19"/>
      <c r="M16" s="19">
        <f ca="1">SUM(M7:M15)</f>
        <v>13845.16772170657</v>
      </c>
      <c r="N16" s="19">
        <f ca="1">SUM(N7:N15)</f>
        <v>10688.419118829512</v>
      </c>
      <c r="O16" s="19">
        <f ca="1">SUM(O7:O15)</f>
        <v>11093.360105935928</v>
      </c>
      <c r="P16" s="19">
        <f ca="1">SUM(P7:P15)</f>
        <v>11184.023340759293</v>
      </c>
      <c r="Q16" s="19">
        <f ca="1">SUM(Q7:Q15)</f>
        <v>11391.503727488736</v>
      </c>
      <c r="S16" s="19">
        <f ca="1">SUM(S7:S15)</f>
        <v>58202.474014720035</v>
      </c>
      <c r="U16" s="8"/>
      <c r="Y16" s="8"/>
    </row>
    <row r="17" spans="2:25" ht="13.5" thickTop="1" x14ac:dyDescent="0.2">
      <c r="B17" s="91"/>
      <c r="C17" s="92"/>
      <c r="D17" s="91"/>
      <c r="F17" s="93"/>
      <c r="G17" s="93"/>
      <c r="H17" s="93"/>
      <c r="I17" s="93"/>
      <c r="J17" s="93"/>
      <c r="K17" s="93"/>
      <c r="L17" s="93"/>
      <c r="M17" s="93"/>
      <c r="N17" s="93"/>
      <c r="O17" s="93"/>
      <c r="P17" s="93"/>
      <c r="Q17" s="93"/>
      <c r="S17" s="1">
        <f ca="1">COUNT(S7:S12)</f>
        <v>6</v>
      </c>
      <c r="U17" s="8"/>
      <c r="Y17" s="8"/>
    </row>
    <row r="18" spans="2:25" x14ac:dyDescent="0.2">
      <c r="B18" s="91"/>
      <c r="C18" s="92"/>
      <c r="D18" s="91"/>
      <c r="S18" s="8">
        <f ca="1">S17-COUNTIF(S7:S12, 0)</f>
        <v>6</v>
      </c>
    </row>
    <row r="19" spans="2:25" x14ac:dyDescent="0.2">
      <c r="B19" s="91"/>
      <c r="C19" s="92"/>
      <c r="D19" s="91"/>
      <c r="N19" s="24"/>
      <c r="O19" s="24"/>
      <c r="P19" s="24"/>
      <c r="Q19" s="24"/>
      <c r="T19" s="24"/>
    </row>
    <row r="20" spans="2:25" x14ac:dyDescent="0.2">
      <c r="B20" s="91"/>
      <c r="C20" s="92"/>
      <c r="D20" s="91"/>
      <c r="T20" s="24"/>
    </row>
    <row r="21" spans="2:25" x14ac:dyDescent="0.2">
      <c r="B21" s="91"/>
      <c r="C21" s="92"/>
      <c r="D21" s="91"/>
      <c r="T21" s="24"/>
    </row>
    <row r="22" spans="2:25" x14ac:dyDescent="0.2">
      <c r="B22"/>
      <c r="C22" s="94"/>
      <c r="D22"/>
      <c r="E22"/>
    </row>
    <row r="23" spans="2:25" x14ac:dyDescent="0.2">
      <c r="B23"/>
      <c r="C23" s="94"/>
      <c r="D23"/>
      <c r="E23"/>
    </row>
    <row r="24" spans="2:25" x14ac:dyDescent="0.2">
      <c r="B24"/>
      <c r="C24" s="94"/>
      <c r="D24"/>
      <c r="E24"/>
      <c r="M24" s="8"/>
      <c r="N24" s="8"/>
      <c r="O24" s="8"/>
      <c r="P24" s="8"/>
      <c r="Q24" s="8"/>
    </row>
    <row r="25" spans="2:25" x14ac:dyDescent="0.2">
      <c r="B25"/>
      <c r="C25" s="94"/>
      <c r="D25"/>
      <c r="E25"/>
      <c r="M25" s="8"/>
      <c r="N25" s="8"/>
      <c r="O25" s="8"/>
      <c r="P25" s="8"/>
      <c r="Q25" s="8"/>
    </row>
    <row r="26" spans="2:25" x14ac:dyDescent="0.2">
      <c r="B26"/>
      <c r="C26" s="94"/>
      <c r="D26"/>
      <c r="E26"/>
      <c r="M26" s="8"/>
      <c r="N26" s="8"/>
      <c r="O26" s="8"/>
      <c r="P26" s="8"/>
      <c r="Q26" s="8"/>
    </row>
    <row r="27" spans="2:25" x14ac:dyDescent="0.2">
      <c r="M27" s="8"/>
      <c r="N27" s="8"/>
      <c r="O27" s="8"/>
      <c r="P27" s="8"/>
      <c r="Q27" s="8"/>
    </row>
    <row r="28" spans="2:25" x14ac:dyDescent="0.2">
      <c r="M28" s="8"/>
      <c r="N28" s="8"/>
      <c r="O28" s="8"/>
      <c r="P28" s="8"/>
      <c r="Q28" s="8"/>
    </row>
    <row r="29" spans="2:25" x14ac:dyDescent="0.2">
      <c r="M29" s="8"/>
      <c r="N29" s="8"/>
      <c r="O29" s="8"/>
      <c r="P29" s="8"/>
      <c r="Q29" s="8"/>
    </row>
    <row r="30" spans="2:25" x14ac:dyDescent="0.2">
      <c r="M30" s="8"/>
      <c r="N30" s="8"/>
      <c r="O30" s="8"/>
      <c r="P30" s="8"/>
      <c r="Q30" s="8"/>
    </row>
    <row r="31" spans="2:25" x14ac:dyDescent="0.2">
      <c r="M31" s="8"/>
      <c r="N31" s="8"/>
      <c r="O31" s="8"/>
      <c r="P31" s="8"/>
      <c r="Q31" s="8"/>
    </row>
    <row r="32" spans="2:25" x14ac:dyDescent="0.2">
      <c r="M32" s="8"/>
      <c r="N32" s="8"/>
      <c r="O32" s="8"/>
      <c r="P32" s="8"/>
      <c r="Q32" s="8"/>
    </row>
    <row r="33" spans="13:17" x14ac:dyDescent="0.2">
      <c r="M33" s="8"/>
      <c r="N33" s="8"/>
      <c r="O33" s="8"/>
      <c r="P33" s="8"/>
      <c r="Q33" s="8"/>
    </row>
    <row r="34" spans="13:17" x14ac:dyDescent="0.2">
      <c r="M34" s="8"/>
      <c r="N34" s="8"/>
      <c r="O34" s="8"/>
      <c r="P34" s="8"/>
      <c r="Q34" s="8"/>
    </row>
    <row r="35" spans="13:17" x14ac:dyDescent="0.2">
      <c r="M35" s="8"/>
      <c r="N35" s="8"/>
      <c r="O35" s="8"/>
      <c r="P35" s="8"/>
      <c r="Q35" s="8"/>
    </row>
    <row r="36" spans="13:17" x14ac:dyDescent="0.2">
      <c r="M36" s="8"/>
      <c r="N36" s="8"/>
      <c r="O36" s="8"/>
      <c r="P36" s="8"/>
      <c r="Q36" s="8"/>
    </row>
    <row r="37" spans="13:17" x14ac:dyDescent="0.2">
      <c r="M37" s="8"/>
      <c r="N37" s="8"/>
      <c r="O37" s="8"/>
      <c r="P37" s="8"/>
      <c r="Q37" s="8"/>
    </row>
    <row r="38" spans="13:17" x14ac:dyDescent="0.2">
      <c r="M38" s="8"/>
      <c r="N38" s="8"/>
      <c r="O38" s="8"/>
      <c r="P38" s="8"/>
      <c r="Q38" s="8"/>
    </row>
  </sheetData>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sheetPr>
  <dimension ref="A1:AA32"/>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K14" sqref="K14"/>
    </sheetView>
  </sheetViews>
  <sheetFormatPr defaultColWidth="9" defaultRowHeight="12.75" x14ac:dyDescent="0.2"/>
  <cols>
    <col min="1" max="1" width="2" style="1" customWidth="1"/>
    <col min="2" max="2" width="17.375" style="1" customWidth="1"/>
    <col min="3" max="3" width="10.5" style="1" customWidth="1"/>
    <col min="4" max="4" width="9" style="1"/>
    <col min="5" max="6" width="7.625" style="1" customWidth="1"/>
    <col min="7" max="8" width="8.5" style="1" customWidth="1"/>
    <col min="9" max="22" width="8.375" style="1" customWidth="1"/>
    <col min="23" max="16384" width="9" style="1"/>
  </cols>
  <sheetData>
    <row r="1" spans="1:27" ht="21" x14ac:dyDescent="0.35">
      <c r="A1" s="3" t="s">
        <v>28</v>
      </c>
      <c r="K1" s="192" t="s">
        <v>121</v>
      </c>
      <c r="L1" s="176" t="s">
        <v>122</v>
      </c>
    </row>
    <row r="2" spans="1:27" ht="18.75" x14ac:dyDescent="0.3">
      <c r="A2" s="7" t="str">
        <f ca="1">RIGHT(CELL("filename",A1),LEN(CELL("filename",A1))-FIND("]",CELL("filename",A1),1))</f>
        <v>Assumptions</v>
      </c>
      <c r="P2" s="31"/>
      <c r="Q2" s="31"/>
      <c r="R2" s="31"/>
      <c r="S2" s="31"/>
      <c r="T2" s="31"/>
      <c r="U2" s="31"/>
      <c r="V2" s="31"/>
    </row>
    <row r="3" spans="1:27" x14ac:dyDescent="0.2">
      <c r="S3" s="31"/>
      <c r="T3" s="31"/>
      <c r="U3" s="31"/>
      <c r="V3" s="31"/>
    </row>
    <row r="4" spans="1:27" x14ac:dyDescent="0.2">
      <c r="A4" s="2" t="s">
        <v>2</v>
      </c>
      <c r="B4" s="2"/>
      <c r="C4" s="2"/>
      <c r="D4" s="2"/>
      <c r="E4" s="2"/>
      <c r="F4" s="2"/>
      <c r="G4" s="2"/>
      <c r="H4" s="2"/>
      <c r="I4" s="2"/>
      <c r="J4" s="2"/>
      <c r="K4" s="2"/>
      <c r="L4" s="2"/>
      <c r="M4" s="2"/>
      <c r="N4" s="2"/>
      <c r="O4" s="2"/>
      <c r="P4" s="2"/>
      <c r="Q4" s="2"/>
      <c r="R4" s="2"/>
      <c r="S4" s="31"/>
      <c r="T4" s="31"/>
      <c r="U4" s="31"/>
      <c r="V4" s="31"/>
    </row>
    <row r="5" spans="1:27" customFormat="1" x14ac:dyDescent="0.2">
      <c r="S5" s="31"/>
      <c r="T5" s="31"/>
      <c r="U5" s="31"/>
      <c r="V5" s="31"/>
      <c r="W5" s="1"/>
    </row>
    <row r="6" spans="1:27" x14ac:dyDescent="0.2">
      <c r="B6" s="74" t="s">
        <v>51</v>
      </c>
      <c r="S6" s="31"/>
      <c r="T6" s="31"/>
      <c r="U6" s="31"/>
      <c r="V6" s="31"/>
    </row>
    <row r="7" spans="1:27" x14ac:dyDescent="0.2">
      <c r="S7" s="31"/>
      <c r="T7" s="31"/>
      <c r="U7" s="31"/>
      <c r="V7" s="31"/>
    </row>
    <row r="8" spans="1:27" x14ac:dyDescent="0.2">
      <c r="S8" s="31"/>
      <c r="T8" s="31"/>
      <c r="U8" s="31"/>
      <c r="V8" s="31"/>
    </row>
    <row r="9" spans="1:27" x14ac:dyDescent="0.2">
      <c r="S9" s="31"/>
      <c r="T9" s="31"/>
      <c r="U9" s="31"/>
      <c r="V9" s="31"/>
    </row>
    <row r="10" spans="1:27" x14ac:dyDescent="0.2">
      <c r="B10" s="1" t="s">
        <v>7</v>
      </c>
      <c r="D10" s="75">
        <v>2019</v>
      </c>
    </row>
    <row r="11" spans="1:27" x14ac:dyDescent="0.2">
      <c r="B11" s="1" t="s">
        <v>13</v>
      </c>
      <c r="D11" s="75" t="s">
        <v>15</v>
      </c>
    </row>
    <row r="14" spans="1:27" x14ac:dyDescent="0.2">
      <c r="A14" s="2" t="s">
        <v>1</v>
      </c>
      <c r="B14" s="2"/>
      <c r="C14" s="2"/>
      <c r="D14" s="2"/>
      <c r="E14" s="2"/>
      <c r="F14" s="2"/>
      <c r="G14" s="2">
        <v>2015</v>
      </c>
      <c r="H14" s="2">
        <f>G14+1</f>
        <v>2016</v>
      </c>
      <c r="I14" s="2">
        <f>H14+1</f>
        <v>2017</v>
      </c>
      <c r="J14" s="2">
        <f>I14+1</f>
        <v>2018</v>
      </c>
      <c r="K14" s="2">
        <v>2019</v>
      </c>
      <c r="L14" s="2">
        <v>2020</v>
      </c>
      <c r="M14" s="6" t="s">
        <v>15</v>
      </c>
    </row>
    <row r="16" spans="1:27" x14ac:dyDescent="0.2">
      <c r="B16" s="1" t="s">
        <v>116</v>
      </c>
      <c r="F16" s="13"/>
      <c r="G16" s="193">
        <v>1.0961500442225942</v>
      </c>
      <c r="H16" s="193">
        <v>1.0790765766629278</v>
      </c>
      <c r="I16" s="193">
        <v>1.061119022886448</v>
      </c>
      <c r="J16" s="193">
        <v>1.0418798063797183</v>
      </c>
      <c r="K16" s="193">
        <v>1.0233339039577956</v>
      </c>
      <c r="L16" s="193">
        <v>1.0077657751950859</v>
      </c>
      <c r="M16" s="193">
        <v>1.0007625489781908</v>
      </c>
      <c r="N16" s="13"/>
      <c r="O16" s="13"/>
      <c r="P16" s="13"/>
      <c r="Q16" s="13"/>
      <c r="R16" s="13"/>
      <c r="S16" s="13"/>
      <c r="T16" s="13"/>
      <c r="U16" s="13"/>
      <c r="V16" s="13"/>
      <c r="W16" s="13"/>
      <c r="X16" s="13"/>
      <c r="Y16" s="13"/>
      <c r="Z16" s="13"/>
      <c r="AA16" s="13"/>
    </row>
    <row r="17" spans="1:27" x14ac:dyDescent="0.2">
      <c r="F17" s="13"/>
      <c r="G17" s="13"/>
      <c r="H17" s="76"/>
      <c r="I17" s="76"/>
      <c r="J17" s="76"/>
      <c r="K17" s="76"/>
      <c r="L17" s="76"/>
      <c r="M17" s="76"/>
      <c r="N17" s="13"/>
      <c r="O17" s="13"/>
      <c r="P17" s="13"/>
      <c r="Q17" s="13"/>
      <c r="R17" s="13"/>
      <c r="S17" s="13"/>
      <c r="T17" s="13"/>
      <c r="U17" s="13"/>
      <c r="V17" s="13"/>
      <c r="W17" s="13"/>
      <c r="X17" s="13"/>
      <c r="Y17" s="13"/>
      <c r="Z17" s="13"/>
      <c r="AA17" s="13"/>
    </row>
    <row r="19" spans="1:27" x14ac:dyDescent="0.2">
      <c r="A19" s="2" t="s">
        <v>113</v>
      </c>
      <c r="B19" s="2"/>
      <c r="C19" s="2"/>
      <c r="D19" s="2"/>
      <c r="E19" s="2"/>
      <c r="F19" s="2"/>
      <c r="G19" s="2"/>
      <c r="H19" s="2"/>
      <c r="I19" s="2"/>
      <c r="J19" s="2"/>
      <c r="K19" s="2"/>
      <c r="L19" s="2" t="s">
        <v>14</v>
      </c>
      <c r="M19" s="2" t="s">
        <v>15</v>
      </c>
      <c r="N19" s="2" t="s">
        <v>16</v>
      </c>
      <c r="O19" s="2" t="s">
        <v>17</v>
      </c>
      <c r="P19" s="2" t="s">
        <v>18</v>
      </c>
      <c r="Q19" s="2" t="s">
        <v>19</v>
      </c>
      <c r="R19" s="2" t="s">
        <v>20</v>
      </c>
    </row>
    <row r="20" spans="1:27" x14ac:dyDescent="0.2">
      <c r="K20" s="8"/>
      <c r="L20" s="8"/>
      <c r="M20" s="8"/>
      <c r="N20" s="8"/>
      <c r="O20" s="8"/>
      <c r="P20" s="8"/>
      <c r="Q20" s="8"/>
      <c r="R20" s="8"/>
    </row>
    <row r="21" spans="1:27" x14ac:dyDescent="0.2">
      <c r="B21" s="4" t="s">
        <v>67</v>
      </c>
      <c r="K21" s="8"/>
      <c r="L21" s="8"/>
      <c r="M21" s="8"/>
      <c r="N21" s="8"/>
      <c r="O21" s="8"/>
      <c r="P21" s="8"/>
      <c r="Q21" s="8"/>
      <c r="R21" s="8"/>
    </row>
    <row r="22" spans="1:27" x14ac:dyDescent="0.2">
      <c r="B22" s="27" t="s">
        <v>65</v>
      </c>
      <c r="C22" s="27"/>
      <c r="D22" s="27"/>
      <c r="E22" s="27"/>
      <c r="F22" s="27"/>
      <c r="G22" s="27"/>
      <c r="H22" s="27"/>
      <c r="I22" s="27"/>
      <c r="J22" s="27"/>
      <c r="K22" s="28"/>
      <c r="L22" s="28"/>
      <c r="M22" s="28"/>
      <c r="N22" s="191">
        <f>'[1]Input|Rate of change'!Q$40</f>
        <v>7.762137192630263E-3</v>
      </c>
      <c r="O22" s="191">
        <f>'[1]Input|Rate of change'!R$40</f>
        <v>4.9608934391037352E-3</v>
      </c>
      <c r="P22" s="191">
        <f>'[1]Input|Rate of change'!S$40</f>
        <v>6.512577699459102E-3</v>
      </c>
      <c r="Q22" s="191">
        <f>'[1]Input|Rate of change'!T$40</f>
        <v>9.9346404822831889E-3</v>
      </c>
      <c r="R22" s="191">
        <f>'[1]Input|Rate of change'!U$40</f>
        <v>1.3075423782207421E-2</v>
      </c>
    </row>
    <row r="23" spans="1:27" x14ac:dyDescent="0.2">
      <c r="B23" s="27" t="s">
        <v>25</v>
      </c>
      <c r="C23" s="27"/>
      <c r="D23" s="27"/>
      <c r="E23" s="27"/>
      <c r="F23" s="27"/>
      <c r="G23" s="27"/>
      <c r="H23" s="27"/>
      <c r="I23" s="27"/>
      <c r="J23" s="27"/>
      <c r="K23" s="27"/>
      <c r="L23" s="27"/>
      <c r="M23" s="27"/>
      <c r="N23" s="113">
        <v>0</v>
      </c>
      <c r="O23" s="113">
        <v>0</v>
      </c>
      <c r="P23" s="113">
        <v>0</v>
      </c>
      <c r="Q23" s="113">
        <v>0</v>
      </c>
      <c r="R23" s="113">
        <v>0</v>
      </c>
      <c r="S23" s="27"/>
    </row>
    <row r="24" spans="1:27" x14ac:dyDescent="0.2">
      <c r="B24" s="27"/>
      <c r="C24" s="27"/>
      <c r="D24" s="27"/>
      <c r="E24" s="27"/>
      <c r="F24" s="27"/>
      <c r="G24" s="27"/>
      <c r="H24" s="27"/>
      <c r="I24" s="27"/>
      <c r="J24" s="27"/>
      <c r="K24" s="27"/>
      <c r="L24" s="27"/>
      <c r="M24" s="27"/>
      <c r="N24" s="27"/>
      <c r="O24" s="27"/>
      <c r="P24" s="27"/>
      <c r="Q24" s="27"/>
      <c r="R24" s="27"/>
      <c r="S24" s="27"/>
    </row>
    <row r="25" spans="1:27" x14ac:dyDescent="0.2">
      <c r="B25" s="111" t="s">
        <v>66</v>
      </c>
      <c r="C25" s="27"/>
      <c r="D25" s="27"/>
      <c r="E25" s="27"/>
      <c r="F25" s="27"/>
      <c r="G25" s="27"/>
      <c r="H25" s="27"/>
      <c r="I25" s="27"/>
      <c r="J25" s="27"/>
      <c r="K25" s="27"/>
      <c r="L25" s="27"/>
      <c r="M25" s="27"/>
      <c r="N25" s="27"/>
      <c r="O25" s="27"/>
      <c r="P25" s="27"/>
      <c r="Q25" s="27"/>
      <c r="R25" s="27"/>
      <c r="S25" s="27"/>
    </row>
    <row r="26" spans="1:27" x14ac:dyDescent="0.2">
      <c r="B26" s="1" t="s">
        <v>24</v>
      </c>
      <c r="D26" s="15"/>
      <c r="K26" s="8"/>
      <c r="L26" s="8"/>
      <c r="M26" s="8"/>
      <c r="N26" s="195">
        <v>0.59199999999999997</v>
      </c>
      <c r="O26" s="195">
        <v>0.59199999999999997</v>
      </c>
      <c r="P26" s="195">
        <v>0.59199999999999997</v>
      </c>
      <c r="Q26" s="195">
        <v>0.59199999999999997</v>
      </c>
      <c r="R26" s="195">
        <v>0.59199999999999997</v>
      </c>
      <c r="S26" s="27"/>
    </row>
    <row r="27" spans="1:27" x14ac:dyDescent="0.2">
      <c r="B27" s="1" t="s">
        <v>25</v>
      </c>
      <c r="D27" s="15"/>
      <c r="K27" s="8"/>
      <c r="L27" s="8"/>
      <c r="M27" s="8"/>
      <c r="N27" s="114">
        <f t="shared" ref="N27:R27" si="0">1-N26</f>
        <v>0.40800000000000003</v>
      </c>
      <c r="O27" s="114">
        <f t="shared" si="0"/>
        <v>0.40800000000000003</v>
      </c>
      <c r="P27" s="114">
        <f t="shared" si="0"/>
        <v>0.40800000000000003</v>
      </c>
      <c r="Q27" s="114">
        <f t="shared" si="0"/>
        <v>0.40800000000000003</v>
      </c>
      <c r="R27" s="114">
        <f t="shared" si="0"/>
        <v>0.40800000000000003</v>
      </c>
      <c r="S27" s="27"/>
    </row>
    <row r="28" spans="1:27" x14ac:dyDescent="0.2">
      <c r="D28" s="15"/>
      <c r="K28" s="8"/>
      <c r="L28" s="8"/>
      <c r="M28" s="8"/>
      <c r="N28" s="8"/>
      <c r="O28" s="8"/>
      <c r="P28" s="8"/>
      <c r="Q28" s="8"/>
      <c r="R28" s="8"/>
      <c r="S28" s="8"/>
    </row>
    <row r="29" spans="1:27" x14ac:dyDescent="0.2">
      <c r="B29" s="27" t="s">
        <v>26</v>
      </c>
      <c r="C29" s="27"/>
      <c r="D29" s="27"/>
      <c r="E29" s="27"/>
      <c r="F29" s="27"/>
      <c r="G29" s="27"/>
      <c r="H29" s="27"/>
      <c r="I29" s="27"/>
      <c r="J29" s="27"/>
      <c r="K29" s="27"/>
      <c r="L29" s="27"/>
      <c r="M29" s="27"/>
      <c r="N29" s="172">
        <f>SUMPRODUCT(N26:N27, N22:N23)</f>
        <v>4.5951852180371152E-3</v>
      </c>
      <c r="O29" s="172">
        <f>SUMPRODUCT(O26:O27, O22:O23)</f>
        <v>2.9368489159494111E-3</v>
      </c>
      <c r="P29" s="172">
        <f>SUMPRODUCT(P26:P27, P22:P23)</f>
        <v>3.8554459980797884E-3</v>
      </c>
      <c r="Q29" s="172">
        <f>SUMPRODUCT(Q26:Q27, Q22:Q23)</f>
        <v>5.8813071655116475E-3</v>
      </c>
      <c r="R29" s="172">
        <f>SUMPRODUCT(R26:R27, R22:R23)</f>
        <v>7.7406508790667933E-3</v>
      </c>
      <c r="S29" s="27"/>
    </row>
    <row r="30" spans="1:27" x14ac:dyDescent="0.2">
      <c r="B30" s="17" t="s">
        <v>27</v>
      </c>
      <c r="C30" s="16"/>
      <c r="D30" s="16"/>
      <c r="E30" s="16"/>
      <c r="F30" s="16"/>
      <c r="G30" s="16"/>
      <c r="H30" s="16"/>
      <c r="I30" s="16"/>
      <c r="J30" s="16"/>
      <c r="K30" s="77">
        <v>1</v>
      </c>
      <c r="L30" s="173">
        <f t="shared" ref="L30:R30" si="1">K30*(1+L29)</f>
        <v>1</v>
      </c>
      <c r="M30" s="173">
        <f t="shared" si="1"/>
        <v>1</v>
      </c>
      <c r="N30" s="173">
        <f t="shared" si="1"/>
        <v>1.004595185218037</v>
      </c>
      <c r="O30" s="173">
        <f t="shared" si="1"/>
        <v>1.0075455294987126</v>
      </c>
      <c r="P30" s="173">
        <f t="shared" si="1"/>
        <v>1.0114300668783016</v>
      </c>
      <c r="Q30" s="173">
        <f t="shared" si="1"/>
        <v>1.017378597778047</v>
      </c>
      <c r="R30" s="173">
        <f t="shared" si="1"/>
        <v>1.0252537703152813</v>
      </c>
    </row>
    <row r="31" spans="1:27" x14ac:dyDescent="0.2">
      <c r="K31" s="8"/>
      <c r="L31" s="14"/>
      <c r="M31" s="14"/>
      <c r="N31" s="14"/>
      <c r="O31" s="14"/>
      <c r="P31" s="14"/>
      <c r="Q31" s="14"/>
      <c r="R31" s="14"/>
    </row>
    <row r="32" spans="1:27" x14ac:dyDescent="0.2">
      <c r="B32" s="17"/>
      <c r="C32" s="16"/>
      <c r="D32" s="16"/>
      <c r="E32" s="16"/>
      <c r="F32" s="16"/>
      <c r="G32" s="16"/>
      <c r="H32" s="16"/>
      <c r="I32" s="16"/>
      <c r="J32" s="16"/>
      <c r="K32" s="18"/>
      <c r="L32" s="18"/>
      <c r="M32" s="18"/>
      <c r="N32" s="18"/>
      <c r="O32" s="18"/>
      <c r="P32" s="18"/>
      <c r="Q32" s="18"/>
      <c r="R32" s="1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W23"/>
  <sheetViews>
    <sheetView showGridLines="0" zoomScale="80" zoomScaleNormal="80" workbookViewId="0">
      <pane xSplit="2" ySplit="2" topLeftCell="C3" activePane="bottomRight" state="frozen"/>
      <selection activeCell="K47" sqref="K47"/>
      <selection pane="topRight" activeCell="K47" sqref="K47"/>
      <selection pane="bottomLeft" activeCell="K47" sqref="K47"/>
      <selection pane="bottomRight"/>
    </sheetView>
  </sheetViews>
  <sheetFormatPr defaultColWidth="9" defaultRowHeight="12.75" x14ac:dyDescent="0.2"/>
  <cols>
    <col min="1" max="1" width="2" style="1" customWidth="1"/>
    <col min="2" max="2" width="38.625" style="1" customWidth="1"/>
    <col min="3" max="3" width="17.25" style="1" customWidth="1"/>
    <col min="4" max="4" width="15" style="1" customWidth="1"/>
    <col min="5" max="5" width="16" style="1" customWidth="1"/>
    <col min="6" max="6" width="12" style="1" customWidth="1"/>
    <col min="7" max="7" width="11.375" style="52" customWidth="1"/>
    <col min="8" max="8" width="17" style="52" customWidth="1"/>
    <col min="9" max="9" width="5.875" style="1" customWidth="1"/>
    <col min="10" max="10" width="9.625" style="1" bestFit="1" customWidth="1"/>
    <col min="11" max="17" width="11.75" style="1" customWidth="1"/>
    <col min="18" max="18" width="2.625" style="1" customWidth="1"/>
    <col min="19" max="19" width="11.125" style="1" customWidth="1"/>
    <col min="20" max="16384" width="9" style="1"/>
  </cols>
  <sheetData>
    <row r="1" spans="1:21" ht="21" x14ac:dyDescent="0.35">
      <c r="A1" s="3" t="s">
        <v>28</v>
      </c>
      <c r="K1" s="192" t="s">
        <v>121</v>
      </c>
      <c r="L1" s="176" t="s">
        <v>122</v>
      </c>
    </row>
    <row r="2" spans="1:21" ht="18.75" x14ac:dyDescent="0.3">
      <c r="A2" s="7" t="str">
        <f ca="1">RIGHT(CELL("filename",A1),LEN(CELL("filename",A1))-FIND("]",CELL("filename",A1),1))</f>
        <v>5 minute settlement</v>
      </c>
      <c r="J2" s="31"/>
      <c r="K2" s="31"/>
      <c r="L2" s="31"/>
      <c r="M2" s="31"/>
      <c r="N2" s="31"/>
      <c r="O2" s="31"/>
      <c r="P2" s="31"/>
      <c r="Q2" s="31"/>
      <c r="U2" s="97" t="s">
        <v>6</v>
      </c>
    </row>
    <row r="3" spans="1:21" x14ac:dyDescent="0.2">
      <c r="A3" s="1" t="s">
        <v>22</v>
      </c>
      <c r="U3" s="96" t="b">
        <f>ROUND(SUM(U6:U36),4)=0</f>
        <v>1</v>
      </c>
    </row>
    <row r="4" spans="1:21" x14ac:dyDescent="0.2">
      <c r="N4" s="8"/>
      <c r="O4" s="8"/>
      <c r="P4" s="8"/>
      <c r="Q4" s="8"/>
    </row>
    <row r="5" spans="1:21" x14ac:dyDescent="0.2">
      <c r="A5" s="2" t="s">
        <v>12</v>
      </c>
      <c r="B5" s="2"/>
      <c r="C5" s="2"/>
      <c r="D5" s="2"/>
      <c r="E5" s="2"/>
      <c r="F5" s="2"/>
      <c r="G5" s="44"/>
      <c r="H5" s="44"/>
      <c r="I5" s="2"/>
      <c r="J5" s="2"/>
      <c r="K5" s="6"/>
      <c r="L5" s="6"/>
      <c r="M5" s="6"/>
      <c r="N5" s="6"/>
      <c r="O5" s="6"/>
      <c r="P5" s="6"/>
      <c r="Q5" s="6"/>
    </row>
    <row r="6" spans="1:21" x14ac:dyDescent="0.2">
      <c r="B6" s="30"/>
      <c r="N6" s="8"/>
      <c r="O6" s="8"/>
      <c r="P6" s="8"/>
      <c r="Q6" s="8"/>
    </row>
    <row r="7" spans="1:21" x14ac:dyDescent="0.2">
      <c r="B7" s="30"/>
      <c r="N7" s="8"/>
      <c r="O7" s="8"/>
      <c r="P7" s="8"/>
      <c r="Q7" s="8"/>
    </row>
    <row r="8" spans="1:21" x14ac:dyDescent="0.2">
      <c r="K8" s="32"/>
      <c r="N8" s="8"/>
      <c r="O8" s="8"/>
      <c r="P8" s="8"/>
      <c r="Q8" s="8"/>
    </row>
    <row r="9" spans="1:21" x14ac:dyDescent="0.2">
      <c r="B9" s="46" t="s">
        <v>35</v>
      </c>
      <c r="K9" s="32"/>
      <c r="N9" s="8"/>
      <c r="O9" s="8"/>
      <c r="P9" s="8"/>
      <c r="Q9" s="8"/>
    </row>
    <row r="10" spans="1:21" x14ac:dyDescent="0.2">
      <c r="B10" s="95" t="s">
        <v>56</v>
      </c>
      <c r="K10" s="32"/>
      <c r="N10" s="8"/>
      <c r="O10" s="8"/>
      <c r="P10" s="8"/>
      <c r="Q10" s="8"/>
    </row>
    <row r="11" spans="1:21" x14ac:dyDescent="0.2">
      <c r="B11" s="95" t="s">
        <v>39</v>
      </c>
      <c r="K11" s="32"/>
      <c r="N11" s="8"/>
      <c r="O11" s="8"/>
      <c r="P11" s="8"/>
      <c r="Q11" s="8"/>
    </row>
    <row r="12" spans="1:21" x14ac:dyDescent="0.2">
      <c r="B12" s="95" t="s">
        <v>58</v>
      </c>
      <c r="K12" s="32"/>
      <c r="N12" s="8"/>
      <c r="O12" s="8"/>
      <c r="P12" s="8"/>
      <c r="Q12" s="8"/>
    </row>
    <row r="14" spans="1:21" x14ac:dyDescent="0.2">
      <c r="G14" s="1"/>
      <c r="H14" s="1"/>
      <c r="J14" s="33"/>
      <c r="K14" s="33"/>
      <c r="L14" s="33"/>
      <c r="M14" s="33"/>
      <c r="N14" s="33"/>
      <c r="O14" s="33"/>
      <c r="P14" s="33"/>
      <c r="Q14" s="33"/>
    </row>
    <row r="15" spans="1:21" x14ac:dyDescent="0.2">
      <c r="J15" s="33"/>
      <c r="K15" s="33"/>
      <c r="L15" s="33"/>
      <c r="M15" s="33"/>
      <c r="N15" s="33"/>
      <c r="O15" s="33"/>
      <c r="P15" s="33"/>
      <c r="Q15" s="33"/>
    </row>
    <row r="16" spans="1:21" x14ac:dyDescent="0.2">
      <c r="A16" s="2" t="s">
        <v>43</v>
      </c>
      <c r="B16" s="2"/>
      <c r="C16" s="2"/>
      <c r="D16" s="2"/>
      <c r="E16" s="2"/>
      <c r="F16" s="2"/>
      <c r="G16" s="44"/>
      <c r="H16" s="44"/>
      <c r="I16" s="2"/>
      <c r="J16" s="2"/>
      <c r="K16" s="6">
        <v>2019</v>
      </c>
      <c r="L16" s="6">
        <v>2020</v>
      </c>
      <c r="M16" s="6" t="s">
        <v>16</v>
      </c>
      <c r="N16" s="6" t="s">
        <v>17</v>
      </c>
      <c r="O16" s="6" t="s">
        <v>18</v>
      </c>
      <c r="P16" s="6" t="s">
        <v>19</v>
      </c>
      <c r="Q16" s="6" t="s">
        <v>20</v>
      </c>
      <c r="S16" s="6" t="s">
        <v>44</v>
      </c>
    </row>
    <row r="17" spans="1:23" s="12" customFormat="1" x14ac:dyDescent="0.2">
      <c r="A17" s="10"/>
      <c r="B17" s="10"/>
      <c r="C17" s="10"/>
      <c r="D17" s="10"/>
      <c r="E17" s="10"/>
      <c r="F17" s="10"/>
      <c r="G17" s="53"/>
      <c r="H17" s="53"/>
      <c r="I17" s="10"/>
      <c r="J17" s="10"/>
      <c r="K17" s="10"/>
      <c r="L17" s="10"/>
      <c r="M17" s="10"/>
      <c r="N17" s="10"/>
      <c r="O17" s="10"/>
      <c r="P17" s="10"/>
      <c r="Q17" s="10"/>
      <c r="R17" s="1"/>
    </row>
    <row r="18" spans="1:23" x14ac:dyDescent="0.2">
      <c r="B18" s="59" t="str">
        <f ca="1">$A$2</f>
        <v>5 minute settlement</v>
      </c>
      <c r="C18" s="163" t="s">
        <v>64</v>
      </c>
      <c r="D18" s="59"/>
      <c r="E18" s="59"/>
      <c r="F18" s="59"/>
      <c r="G18" s="60" t="s">
        <v>124</v>
      </c>
      <c r="H18" s="61"/>
      <c r="I18" s="59"/>
      <c r="J18" s="59"/>
      <c r="K18" s="59"/>
      <c r="L18" s="59"/>
      <c r="M18" s="196">
        <v>544.64404068488625</v>
      </c>
      <c r="N18" s="196">
        <v>581.04705073791854</v>
      </c>
      <c r="O18" s="196">
        <v>720.86267243667203</v>
      </c>
      <c r="P18" s="196">
        <v>837.12278744396963</v>
      </c>
      <c r="Q18" s="196">
        <v>959.83512806761814</v>
      </c>
      <c r="R18" s="197"/>
      <c r="S18" s="180">
        <f>SUM(M18:Q18)</f>
        <v>3643.511679371064</v>
      </c>
    </row>
    <row r="19" spans="1:23" x14ac:dyDescent="0.2">
      <c r="H19" s="1"/>
      <c r="K19" s="34"/>
      <c r="L19" s="34"/>
      <c r="M19" s="34"/>
      <c r="N19" s="34"/>
      <c r="O19" s="34"/>
      <c r="P19" s="34"/>
      <c r="Q19" s="34"/>
      <c r="R19" s="31"/>
      <c r="S19" s="33"/>
    </row>
    <row r="20" spans="1:23" x14ac:dyDescent="0.2">
      <c r="B20" s="4" t="s">
        <v>45</v>
      </c>
      <c r="J20" s="33"/>
      <c r="K20" s="33"/>
      <c r="L20" s="33"/>
      <c r="M20" s="33"/>
      <c r="N20" s="33"/>
      <c r="O20" s="33"/>
      <c r="P20" s="33"/>
      <c r="Q20" s="33"/>
      <c r="S20" s="33"/>
      <c r="T20" s="33"/>
      <c r="U20" s="33"/>
      <c r="V20" s="33"/>
      <c r="W20" s="33"/>
    </row>
    <row r="21" spans="1:23" ht="13.5" thickBot="1" x14ac:dyDescent="0.25">
      <c r="B21" s="78" t="str">
        <f ca="1">"Total"&amp;" "&amp;$A$2</f>
        <v>Total 5 minute settlement</v>
      </c>
      <c r="C21" s="79"/>
      <c r="D21" s="78"/>
      <c r="E21" s="78"/>
      <c r="F21" s="78"/>
      <c r="G21" s="80" t="s">
        <v>124</v>
      </c>
      <c r="H21" s="81"/>
      <c r="I21" s="78"/>
      <c r="J21" s="82"/>
      <c r="K21" s="82"/>
      <c r="L21" s="82"/>
      <c r="M21" s="83">
        <f>M18*Assumptions!N$30</f>
        <v>547.14678092973338</v>
      </c>
      <c r="N21" s="83">
        <f>N18*Assumptions!O$30</f>
        <v>585.43135839940146</v>
      </c>
      <c r="O21" s="83">
        <f>O18*Assumptions!P$30</f>
        <v>729.10218099269446</v>
      </c>
      <c r="P21" s="83">
        <f>P18*Assumptions!Q$30</f>
        <v>851.67080765779588</v>
      </c>
      <c r="Q21" s="83">
        <f>Q18*Assumptions!R$30</f>
        <v>984.07458393237641</v>
      </c>
      <c r="S21" s="83">
        <f>SUM(M21:Q21)</f>
        <v>3697.4257119120016</v>
      </c>
      <c r="T21" s="33"/>
      <c r="U21" s="33"/>
      <c r="V21" s="33"/>
      <c r="W21" s="33"/>
    </row>
    <row r="22" spans="1:23" ht="13.5" thickTop="1" x14ac:dyDescent="0.2">
      <c r="H22" s="1"/>
      <c r="K22" s="34"/>
      <c r="L22" s="34"/>
      <c r="M22" s="34"/>
      <c r="N22" s="33"/>
      <c r="O22" s="33"/>
      <c r="P22" s="33"/>
      <c r="Q22" s="33"/>
      <c r="R22" s="31"/>
      <c r="S22" s="33"/>
    </row>
    <row r="23" spans="1:23" x14ac:dyDescent="0.2">
      <c r="J23" s="33"/>
      <c r="K23" s="33"/>
      <c r="L23" s="33"/>
      <c r="M23" s="33"/>
      <c r="N23" s="33"/>
      <c r="O23" s="33"/>
      <c r="P23" s="33"/>
      <c r="Q23" s="33"/>
      <c r="S23" s="33"/>
      <c r="T23" s="33"/>
      <c r="U23" s="33"/>
      <c r="V23" s="33"/>
      <c r="W23" s="33"/>
    </row>
  </sheetData>
  <conditionalFormatting sqref="U3">
    <cfRule type="expression" dxfId="0" priority="1">
      <formula>$U$3=FALSE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FF00"/>
    <pageSetUpPr fitToPage="1"/>
  </sheetPr>
  <dimension ref="A1:XEZ111"/>
  <sheetViews>
    <sheetView showGridLines="0" zoomScale="80" zoomScaleNormal="80" workbookViewId="0">
      <pane xSplit="2" ySplit="2" topLeftCell="C3" activePane="bottomRight" state="frozen"/>
      <selection activeCell="K47" sqref="K47"/>
      <selection pane="topRight" activeCell="K47" sqref="K47"/>
      <selection pane="bottomLeft" activeCell="K47" sqref="K47"/>
      <selection pane="bottomRight" activeCell="G1" sqref="G1"/>
    </sheetView>
  </sheetViews>
  <sheetFormatPr defaultColWidth="9" defaultRowHeight="12.75" x14ac:dyDescent="0.2"/>
  <cols>
    <col min="1" max="1" width="2" style="1" customWidth="1"/>
    <col min="2" max="2" width="50.5" style="1" customWidth="1"/>
    <col min="3" max="3" width="17.5" style="1" customWidth="1"/>
    <col min="4" max="4" width="14.25" style="1" customWidth="1"/>
    <col min="5" max="5" width="15.5" style="1" customWidth="1"/>
    <col min="6" max="6" width="1.75" style="1" customWidth="1"/>
    <col min="7" max="7" width="11.75" style="52" customWidth="1"/>
    <col min="8" max="8" width="17" style="1" customWidth="1"/>
    <col min="9" max="9" width="6.125" style="1" customWidth="1"/>
    <col min="10" max="10" width="9.625" style="1" customWidth="1"/>
    <col min="11" max="12" width="9" style="1" customWidth="1"/>
    <col min="13" max="17" width="9" style="1"/>
    <col min="18" max="18" width="2.625" style="1" customWidth="1"/>
    <col min="19" max="16384" width="9" style="1"/>
  </cols>
  <sheetData>
    <row r="1" spans="1:19" ht="21" x14ac:dyDescent="0.35">
      <c r="A1" s="3" t="s">
        <v>28</v>
      </c>
      <c r="G1" s="192" t="s">
        <v>121</v>
      </c>
      <c r="H1" s="176" t="s">
        <v>122</v>
      </c>
    </row>
    <row r="2" spans="1:19" ht="18.75" x14ac:dyDescent="0.3">
      <c r="A2" s="7" t="str">
        <f ca="1">RIGHT(CELL("filename",A1),LEN(CELL("filename",A1))-FIND("]",CELL("filename",A1),1))</f>
        <v>Security of critical infr</v>
      </c>
    </row>
    <row r="3" spans="1:19" x14ac:dyDescent="0.2">
      <c r="A3" s="1" t="s">
        <v>11</v>
      </c>
    </row>
    <row r="5" spans="1:19" x14ac:dyDescent="0.2">
      <c r="A5" s="2" t="s">
        <v>12</v>
      </c>
      <c r="B5" s="2"/>
      <c r="C5" s="2"/>
      <c r="D5" s="2"/>
      <c r="E5" s="2"/>
      <c r="F5" s="2"/>
      <c r="G5" s="44"/>
      <c r="H5" s="6"/>
      <c r="I5" s="2"/>
      <c r="J5" s="2"/>
      <c r="K5" s="6"/>
      <c r="L5" s="6"/>
      <c r="M5" s="6"/>
      <c r="N5" s="6"/>
      <c r="O5" s="6"/>
      <c r="P5" s="6"/>
      <c r="Q5" s="6"/>
    </row>
    <row r="6" spans="1:19" x14ac:dyDescent="0.2">
      <c r="B6" s="232"/>
      <c r="C6" s="232"/>
      <c r="D6" s="232"/>
      <c r="E6" s="232"/>
      <c r="F6" s="232"/>
      <c r="G6" s="232"/>
      <c r="H6" s="232"/>
    </row>
    <row r="7" spans="1:19" x14ac:dyDescent="0.2">
      <c r="B7" s="112"/>
      <c r="C7" s="112"/>
      <c r="D7" s="112"/>
      <c r="E7" s="112"/>
      <c r="F7" s="112"/>
      <c r="G7" s="112"/>
      <c r="H7" s="112"/>
    </row>
    <row r="8" spans="1:19" x14ac:dyDescent="0.2">
      <c r="B8" s="112"/>
      <c r="C8" s="112"/>
      <c r="D8" s="112"/>
      <c r="E8" s="112"/>
      <c r="F8" s="112"/>
      <c r="G8" s="112"/>
      <c r="H8" s="112"/>
    </row>
    <row r="10" spans="1:19" x14ac:dyDescent="0.2">
      <c r="B10" s="4" t="s">
        <v>35</v>
      </c>
    </row>
    <row r="11" spans="1:19" x14ac:dyDescent="0.2">
      <c r="B11" s="1" t="s">
        <v>36</v>
      </c>
      <c r="S11" s="23"/>
    </row>
    <row r="12" spans="1:19" x14ac:dyDescent="0.2">
      <c r="B12" s="1" t="s">
        <v>37</v>
      </c>
    </row>
    <row r="13" spans="1:19" x14ac:dyDescent="0.2">
      <c r="B13" s="95" t="s">
        <v>58</v>
      </c>
    </row>
    <row r="15" spans="1:19" x14ac:dyDescent="0.2">
      <c r="A15" s="2" t="s">
        <v>128</v>
      </c>
      <c r="B15" s="2"/>
      <c r="C15" s="2"/>
      <c r="D15" s="2"/>
      <c r="E15" s="2"/>
      <c r="F15" s="2"/>
      <c r="G15" s="44"/>
      <c r="H15" s="44" t="s">
        <v>34</v>
      </c>
      <c r="I15" s="2"/>
      <c r="J15" s="2"/>
      <c r="K15" s="6" t="s">
        <v>14</v>
      </c>
      <c r="L15" s="6" t="s">
        <v>15</v>
      </c>
      <c r="M15" s="6" t="s">
        <v>16</v>
      </c>
      <c r="N15" s="6" t="s">
        <v>17</v>
      </c>
      <c r="O15" s="6" t="s">
        <v>18</v>
      </c>
      <c r="P15" s="6" t="s">
        <v>19</v>
      </c>
      <c r="Q15" s="6" t="s">
        <v>20</v>
      </c>
    </row>
    <row r="17" spans="2:19" x14ac:dyDescent="0.2">
      <c r="G17" s="1"/>
      <c r="H17" s="52"/>
      <c r="S17" s="170"/>
    </row>
    <row r="18" spans="2:19" x14ac:dyDescent="0.2">
      <c r="B18" s="206"/>
      <c r="C18" s="207"/>
      <c r="D18" s="207"/>
      <c r="E18" s="207"/>
      <c r="F18" s="207"/>
      <c r="G18" s="208"/>
      <c r="H18" s="207"/>
      <c r="I18" s="207"/>
      <c r="J18" s="207"/>
      <c r="K18" s="207"/>
      <c r="L18" s="207"/>
      <c r="M18" s="207"/>
      <c r="N18" s="207"/>
      <c r="O18" s="207"/>
      <c r="P18" s="207"/>
      <c r="Q18" s="207"/>
      <c r="S18" s="170"/>
    </row>
    <row r="19" spans="2:19" x14ac:dyDescent="0.2">
      <c r="B19" s="209"/>
      <c r="C19" s="207"/>
      <c r="D19" s="207"/>
      <c r="E19" s="207"/>
      <c r="F19" s="207"/>
      <c r="G19" s="207"/>
      <c r="H19" s="207"/>
      <c r="I19" s="207"/>
      <c r="J19" s="207"/>
      <c r="K19" s="207"/>
      <c r="L19" s="207"/>
      <c r="M19" s="210"/>
      <c r="N19" s="210"/>
      <c r="O19" s="210"/>
      <c r="P19" s="210"/>
      <c r="Q19" s="210"/>
      <c r="S19" s="170"/>
    </row>
    <row r="20" spans="2:19" x14ac:dyDescent="0.2">
      <c r="B20" s="209"/>
      <c r="C20" s="207"/>
      <c r="D20" s="207"/>
      <c r="E20" s="207"/>
      <c r="F20" s="207"/>
      <c r="G20" s="211"/>
      <c r="H20" s="211"/>
      <c r="I20" s="207"/>
      <c r="J20" s="207"/>
      <c r="K20" s="207"/>
      <c r="L20" s="207"/>
      <c r="M20" s="210"/>
      <c r="N20" s="210"/>
      <c r="O20" s="210"/>
      <c r="P20" s="210"/>
      <c r="Q20" s="210"/>
    </row>
    <row r="21" spans="2:19" x14ac:dyDescent="0.2">
      <c r="B21" s="209"/>
      <c r="C21" s="207"/>
      <c r="D21" s="207"/>
      <c r="E21" s="207"/>
      <c r="F21" s="207"/>
      <c r="G21" s="211"/>
      <c r="H21" s="211"/>
      <c r="I21" s="207"/>
      <c r="J21" s="207"/>
      <c r="K21" s="207"/>
      <c r="L21" s="207"/>
      <c r="M21" s="210"/>
      <c r="N21" s="210"/>
      <c r="O21" s="210"/>
      <c r="P21" s="210"/>
      <c r="Q21" s="210"/>
    </row>
    <row r="22" spans="2:19" x14ac:dyDescent="0.2">
      <c r="B22" s="207"/>
      <c r="C22" s="207"/>
      <c r="D22" s="207"/>
      <c r="E22" s="207"/>
      <c r="F22" s="207"/>
      <c r="G22" s="211"/>
      <c r="H22" s="211"/>
      <c r="I22" s="207"/>
      <c r="J22" s="207"/>
      <c r="K22" s="207"/>
      <c r="L22" s="207"/>
      <c r="M22" s="207"/>
      <c r="N22" s="207"/>
      <c r="O22" s="207"/>
      <c r="P22" s="207"/>
      <c r="Q22" s="207"/>
    </row>
    <row r="23" spans="2:19" x14ac:dyDescent="0.2">
      <c r="B23" s="207"/>
      <c r="C23" s="207"/>
      <c r="D23" s="207"/>
      <c r="E23" s="207"/>
      <c r="F23" s="207"/>
      <c r="G23" s="211"/>
      <c r="H23" s="211"/>
      <c r="I23" s="207"/>
      <c r="J23" s="207"/>
      <c r="K23" s="207"/>
      <c r="L23" s="207"/>
      <c r="M23" s="207"/>
      <c r="N23" s="207"/>
      <c r="O23" s="207"/>
      <c r="P23" s="207"/>
      <c r="Q23" s="207"/>
    </row>
    <row r="24" spans="2:19" x14ac:dyDescent="0.2">
      <c r="B24" s="206"/>
      <c r="C24" s="207"/>
      <c r="D24" s="207"/>
      <c r="E24" s="207"/>
      <c r="F24" s="207"/>
      <c r="G24" s="208"/>
      <c r="H24" s="211"/>
      <c r="I24" s="207"/>
      <c r="J24" s="207"/>
      <c r="K24" s="207"/>
      <c r="L24" s="207"/>
      <c r="M24" s="207"/>
      <c r="N24" s="207"/>
      <c r="O24" s="207"/>
      <c r="P24" s="207"/>
      <c r="Q24" s="207"/>
    </row>
    <row r="25" spans="2:19" x14ac:dyDescent="0.2">
      <c r="B25" s="209"/>
      <c r="C25" s="207"/>
      <c r="D25" s="207"/>
      <c r="E25" s="207"/>
      <c r="F25" s="207"/>
      <c r="G25" s="211"/>
      <c r="H25" s="211"/>
      <c r="I25" s="207"/>
      <c r="J25" s="207"/>
      <c r="K25" s="207"/>
      <c r="L25" s="207"/>
      <c r="M25" s="210"/>
      <c r="N25" s="210"/>
      <c r="O25" s="210"/>
      <c r="P25" s="210"/>
      <c r="Q25" s="210"/>
    </row>
    <row r="26" spans="2:19" x14ac:dyDescent="0.2">
      <c r="B26" s="209"/>
      <c r="C26" s="207"/>
      <c r="D26" s="207"/>
      <c r="E26" s="207"/>
      <c r="F26" s="207"/>
      <c r="G26" s="211"/>
      <c r="H26" s="211"/>
      <c r="I26" s="207"/>
      <c r="J26" s="207"/>
      <c r="K26" s="207"/>
      <c r="L26" s="207"/>
      <c r="M26" s="210"/>
      <c r="N26" s="210"/>
      <c r="O26" s="210"/>
      <c r="P26" s="210"/>
      <c r="Q26" s="210"/>
    </row>
    <row r="27" spans="2:19" x14ac:dyDescent="0.2">
      <c r="B27" s="209"/>
      <c r="C27" s="207"/>
      <c r="D27" s="207"/>
      <c r="E27" s="207"/>
      <c r="F27" s="207"/>
      <c r="G27" s="211"/>
      <c r="H27" s="211"/>
      <c r="I27" s="207"/>
      <c r="J27" s="207"/>
      <c r="K27" s="207"/>
      <c r="L27" s="207"/>
      <c r="M27" s="210"/>
      <c r="N27" s="210"/>
      <c r="O27" s="210"/>
      <c r="P27" s="210"/>
      <c r="Q27" s="210"/>
    </row>
    <row r="28" spans="2:19" x14ac:dyDescent="0.2">
      <c r="B28" s="209"/>
      <c r="C28" s="207"/>
      <c r="D28" s="207"/>
      <c r="E28" s="207"/>
      <c r="F28" s="207"/>
      <c r="G28" s="211"/>
      <c r="H28" s="211"/>
      <c r="I28" s="207"/>
      <c r="J28" s="207"/>
      <c r="K28" s="207"/>
      <c r="L28" s="207"/>
      <c r="M28" s="210"/>
      <c r="N28" s="210"/>
      <c r="O28" s="210"/>
      <c r="P28" s="210"/>
      <c r="Q28" s="210"/>
    </row>
    <row r="29" spans="2:19" x14ac:dyDescent="0.2">
      <c r="B29" s="209"/>
      <c r="C29" s="207"/>
      <c r="D29" s="207"/>
      <c r="E29" s="207"/>
      <c r="F29" s="207"/>
      <c r="G29" s="211"/>
      <c r="H29" s="211"/>
      <c r="I29" s="207"/>
      <c r="J29" s="207"/>
      <c r="K29" s="207"/>
      <c r="L29" s="207"/>
      <c r="M29" s="210"/>
      <c r="N29" s="210"/>
      <c r="O29" s="210"/>
      <c r="P29" s="210"/>
      <c r="Q29" s="210"/>
    </row>
    <row r="30" spans="2:19" x14ac:dyDescent="0.2">
      <c r="B30" s="209"/>
      <c r="C30" s="207"/>
      <c r="D30" s="207"/>
      <c r="E30" s="207"/>
      <c r="F30" s="207"/>
      <c r="G30" s="211"/>
      <c r="H30" s="211"/>
      <c r="I30" s="207"/>
      <c r="J30" s="207"/>
      <c r="K30" s="207"/>
      <c r="L30" s="207"/>
      <c r="M30" s="210"/>
      <c r="N30" s="210"/>
      <c r="O30" s="210"/>
      <c r="P30" s="210"/>
      <c r="Q30" s="210"/>
    </row>
    <row r="31" spans="2:19" x14ac:dyDescent="0.2">
      <c r="B31" s="209"/>
      <c r="C31" s="207"/>
      <c r="D31" s="207"/>
      <c r="E31" s="207"/>
      <c r="F31" s="207"/>
      <c r="G31" s="211"/>
      <c r="H31" s="211"/>
      <c r="I31" s="207"/>
      <c r="J31" s="207"/>
      <c r="K31" s="207"/>
      <c r="L31" s="207"/>
      <c r="M31" s="210"/>
      <c r="N31" s="210"/>
      <c r="O31" s="210"/>
      <c r="P31" s="210"/>
      <c r="Q31" s="210"/>
    </row>
    <row r="32" spans="2:19" x14ac:dyDescent="0.2">
      <c r="B32" s="209"/>
      <c r="C32" s="207"/>
      <c r="D32" s="207"/>
      <c r="E32" s="207"/>
      <c r="F32" s="207"/>
      <c r="G32" s="211"/>
      <c r="H32" s="211"/>
      <c r="I32" s="207"/>
      <c r="J32" s="207"/>
      <c r="K32" s="207"/>
      <c r="L32" s="207"/>
      <c r="M32" s="210"/>
      <c r="N32" s="210"/>
      <c r="O32" s="210"/>
      <c r="P32" s="210"/>
      <c r="Q32" s="210"/>
    </row>
    <row r="33" spans="1:21" x14ac:dyDescent="0.2">
      <c r="B33" s="209"/>
      <c r="C33" s="207"/>
      <c r="D33" s="207"/>
      <c r="E33" s="207"/>
      <c r="F33" s="207"/>
      <c r="G33" s="211"/>
      <c r="H33" s="211"/>
      <c r="I33" s="207"/>
      <c r="J33" s="207"/>
      <c r="K33" s="207"/>
      <c r="L33" s="207"/>
      <c r="M33" s="210"/>
      <c r="N33" s="210"/>
      <c r="O33" s="210"/>
      <c r="P33" s="210"/>
      <c r="Q33" s="210"/>
    </row>
    <row r="34" spans="1:21" x14ac:dyDescent="0.2">
      <c r="B34" s="209"/>
      <c r="C34" s="207"/>
      <c r="D34" s="207"/>
      <c r="E34" s="207"/>
      <c r="F34" s="207"/>
      <c r="G34" s="211"/>
      <c r="H34" s="211"/>
      <c r="I34" s="207"/>
      <c r="J34" s="207"/>
      <c r="K34" s="207"/>
      <c r="L34" s="207"/>
      <c r="M34" s="210"/>
      <c r="N34" s="210"/>
      <c r="O34" s="210"/>
      <c r="P34" s="210"/>
      <c r="Q34" s="210"/>
    </row>
    <row r="35" spans="1:21" x14ac:dyDescent="0.2">
      <c r="B35" s="209"/>
      <c r="C35" s="207"/>
      <c r="D35" s="207"/>
      <c r="E35" s="207"/>
      <c r="F35" s="207"/>
      <c r="G35" s="211"/>
      <c r="H35" s="211"/>
      <c r="I35" s="207"/>
      <c r="J35" s="207"/>
      <c r="K35" s="207"/>
      <c r="L35" s="207"/>
      <c r="M35" s="210"/>
      <c r="N35" s="210"/>
      <c r="O35" s="210"/>
      <c r="P35" s="210"/>
      <c r="Q35" s="210"/>
    </row>
    <row r="36" spans="1:21" x14ac:dyDescent="0.2">
      <c r="B36" s="209"/>
      <c r="C36" s="207"/>
      <c r="D36" s="207"/>
      <c r="E36" s="207"/>
      <c r="F36" s="207"/>
      <c r="G36" s="211"/>
      <c r="H36" s="211"/>
      <c r="I36" s="207"/>
      <c r="J36" s="207"/>
      <c r="K36" s="207"/>
      <c r="L36" s="207"/>
      <c r="M36" s="210"/>
      <c r="N36" s="210"/>
      <c r="O36" s="210"/>
      <c r="P36" s="210"/>
      <c r="Q36" s="210"/>
      <c r="R36" s="169"/>
      <c r="S36" s="169"/>
      <c r="T36" s="169"/>
      <c r="U36" s="169"/>
    </row>
    <row r="37" spans="1:21" x14ac:dyDescent="0.2">
      <c r="B37" s="209"/>
      <c r="C37" s="207"/>
      <c r="D37" s="207"/>
      <c r="E37" s="207"/>
      <c r="F37" s="207"/>
      <c r="G37" s="211"/>
      <c r="H37" s="211"/>
      <c r="I37" s="207"/>
      <c r="J37" s="207"/>
      <c r="K37" s="207"/>
      <c r="L37" s="207"/>
      <c r="M37" s="210"/>
      <c r="N37" s="210"/>
      <c r="O37" s="210"/>
      <c r="P37" s="210"/>
      <c r="Q37" s="210"/>
      <c r="R37" s="169"/>
      <c r="S37" s="169"/>
      <c r="T37" s="169"/>
      <c r="U37" s="169"/>
    </row>
    <row r="38" spans="1:21" x14ac:dyDescent="0.2">
      <c r="B38" s="209"/>
      <c r="C38" s="207"/>
      <c r="D38" s="207"/>
      <c r="E38" s="207"/>
      <c r="F38" s="207"/>
      <c r="G38" s="211"/>
      <c r="H38" s="211"/>
      <c r="I38" s="207"/>
      <c r="J38" s="207"/>
      <c r="K38" s="207"/>
      <c r="L38" s="207"/>
      <c r="M38" s="210"/>
      <c r="N38" s="210"/>
      <c r="O38" s="210"/>
      <c r="P38" s="210"/>
      <c r="Q38" s="210"/>
    </row>
    <row r="39" spans="1:21" x14ac:dyDescent="0.2">
      <c r="B39" s="209"/>
      <c r="C39" s="207"/>
      <c r="D39" s="207"/>
      <c r="E39" s="207"/>
      <c r="F39" s="207"/>
      <c r="G39" s="211"/>
      <c r="H39" s="211"/>
      <c r="I39" s="207"/>
      <c r="J39" s="207"/>
      <c r="K39" s="207"/>
      <c r="L39" s="207"/>
      <c r="M39" s="210"/>
      <c r="N39" s="210"/>
      <c r="O39" s="210"/>
      <c r="P39" s="210"/>
      <c r="Q39" s="210"/>
    </row>
    <row r="40" spans="1:21" x14ac:dyDescent="0.2">
      <c r="B40" s="209"/>
      <c r="C40" s="207"/>
      <c r="D40" s="207"/>
      <c r="E40" s="207"/>
      <c r="F40" s="207"/>
      <c r="G40" s="211"/>
      <c r="H40" s="211"/>
      <c r="I40" s="207"/>
      <c r="J40" s="207"/>
      <c r="K40" s="207"/>
      <c r="L40" s="207"/>
      <c r="M40" s="210"/>
      <c r="N40" s="210"/>
      <c r="O40" s="210"/>
      <c r="P40" s="210"/>
      <c r="Q40" s="210"/>
    </row>
    <row r="41" spans="1:21" x14ac:dyDescent="0.2">
      <c r="B41" s="209"/>
      <c r="C41" s="207"/>
      <c r="D41" s="207"/>
      <c r="E41" s="207"/>
      <c r="F41" s="207"/>
      <c r="G41" s="211"/>
      <c r="H41" s="211"/>
      <c r="I41" s="207"/>
      <c r="J41" s="207"/>
      <c r="K41" s="207"/>
      <c r="L41" s="207"/>
      <c r="M41" s="210"/>
      <c r="N41" s="210"/>
      <c r="O41" s="210"/>
      <c r="P41" s="210"/>
      <c r="Q41" s="210"/>
    </row>
    <row r="42" spans="1:21" x14ac:dyDescent="0.2">
      <c r="B42" s="209"/>
      <c r="C42" s="207"/>
      <c r="D42" s="207"/>
      <c r="E42" s="207"/>
      <c r="F42" s="207"/>
      <c r="G42" s="211"/>
      <c r="H42" s="211"/>
      <c r="I42" s="207"/>
      <c r="J42" s="207"/>
      <c r="K42" s="207"/>
      <c r="L42" s="207"/>
      <c r="M42" s="210"/>
      <c r="N42" s="210"/>
      <c r="O42" s="210"/>
      <c r="P42" s="210"/>
      <c r="Q42" s="210"/>
    </row>
    <row r="43" spans="1:21" x14ac:dyDescent="0.2">
      <c r="A43" s="4"/>
      <c r="B43" s="209"/>
      <c r="C43" s="207"/>
      <c r="D43" s="207"/>
      <c r="E43" s="207"/>
      <c r="F43" s="207"/>
      <c r="G43" s="211"/>
      <c r="H43" s="211"/>
      <c r="I43" s="207"/>
      <c r="J43" s="207"/>
      <c r="K43" s="207"/>
      <c r="L43" s="207"/>
      <c r="M43" s="210"/>
      <c r="N43" s="210"/>
      <c r="O43" s="210"/>
      <c r="P43" s="210"/>
      <c r="Q43" s="210"/>
    </row>
    <row r="44" spans="1:21" x14ac:dyDescent="0.2">
      <c r="B44" s="209"/>
      <c r="C44" s="207"/>
      <c r="D44" s="207"/>
      <c r="E44" s="207"/>
      <c r="F44" s="207"/>
      <c r="G44" s="211"/>
      <c r="H44" s="211"/>
      <c r="I44" s="207"/>
      <c r="J44" s="207"/>
      <c r="K44" s="207"/>
      <c r="L44" s="207"/>
      <c r="M44" s="210"/>
      <c r="N44" s="210"/>
      <c r="O44" s="210"/>
      <c r="P44" s="210"/>
      <c r="Q44" s="210"/>
    </row>
    <row r="45" spans="1:21" x14ac:dyDescent="0.2">
      <c r="B45" s="207"/>
      <c r="C45" s="207"/>
      <c r="D45" s="207"/>
      <c r="E45" s="207"/>
      <c r="F45" s="207"/>
      <c r="G45" s="213"/>
      <c r="H45" s="214"/>
      <c r="I45" s="207"/>
      <c r="J45" s="207"/>
      <c r="K45" s="207"/>
      <c r="L45" s="207"/>
      <c r="M45" s="215"/>
      <c r="N45" s="215"/>
      <c r="O45" s="215"/>
      <c r="P45" s="215"/>
      <c r="Q45" s="215"/>
    </row>
    <row r="46" spans="1:21" x14ac:dyDescent="0.2">
      <c r="B46" s="207"/>
      <c r="C46" s="207"/>
      <c r="D46" s="207"/>
      <c r="E46" s="207"/>
      <c r="F46" s="207"/>
      <c r="G46" s="213"/>
      <c r="H46" s="214"/>
      <c r="I46" s="207"/>
      <c r="J46" s="207"/>
      <c r="K46" s="207"/>
      <c r="L46" s="207"/>
      <c r="M46" s="215"/>
      <c r="N46" s="215"/>
      <c r="O46" s="215"/>
      <c r="P46" s="215"/>
      <c r="Q46" s="215"/>
    </row>
    <row r="47" spans="1:21" x14ac:dyDescent="0.2">
      <c r="B47" s="207"/>
      <c r="C47" s="207"/>
      <c r="D47" s="207"/>
      <c r="E47" s="207"/>
      <c r="F47" s="207"/>
      <c r="G47" s="213"/>
      <c r="H47" s="214"/>
      <c r="I47" s="207"/>
      <c r="J47" s="207"/>
      <c r="K47" s="207"/>
      <c r="L47" s="207"/>
      <c r="M47" s="215"/>
      <c r="N47" s="215"/>
      <c r="O47" s="215"/>
      <c r="P47" s="215"/>
      <c r="Q47" s="215"/>
    </row>
    <row r="48" spans="1:21" x14ac:dyDescent="0.2">
      <c r="B48" s="207"/>
      <c r="C48" s="207"/>
      <c r="D48" s="207"/>
      <c r="E48" s="207"/>
      <c r="F48" s="207"/>
      <c r="G48" s="213"/>
      <c r="H48" s="214"/>
      <c r="I48" s="207"/>
      <c r="J48" s="207"/>
      <c r="K48" s="207"/>
      <c r="L48" s="207"/>
      <c r="M48" s="215"/>
      <c r="N48" s="215"/>
      <c r="O48" s="215"/>
      <c r="P48" s="215"/>
      <c r="Q48" s="215"/>
      <c r="S48" s="181"/>
    </row>
    <row r="49" spans="1:19" x14ac:dyDescent="0.2">
      <c r="B49" s="207"/>
      <c r="C49" s="207"/>
      <c r="D49" s="207"/>
      <c r="E49" s="207"/>
      <c r="F49" s="207"/>
      <c r="G49" s="213"/>
      <c r="H49" s="214"/>
      <c r="I49" s="207"/>
      <c r="J49" s="207"/>
      <c r="K49" s="207"/>
      <c r="L49" s="207"/>
      <c r="M49" s="215"/>
      <c r="N49" s="215"/>
      <c r="O49" s="215"/>
      <c r="P49" s="215"/>
      <c r="Q49" s="215"/>
      <c r="S49" s="181"/>
    </row>
    <row r="50" spans="1:19" x14ac:dyDescent="0.2">
      <c r="B50" s="207"/>
      <c r="C50" s="207"/>
      <c r="D50" s="207"/>
      <c r="E50" s="207"/>
      <c r="F50" s="207"/>
      <c r="G50" s="213"/>
      <c r="H50" s="214"/>
      <c r="I50" s="207"/>
      <c r="J50" s="207"/>
      <c r="K50" s="207"/>
      <c r="L50" s="207"/>
      <c r="M50" s="215"/>
      <c r="N50" s="215"/>
      <c r="O50" s="215"/>
      <c r="P50" s="215"/>
      <c r="Q50" s="215"/>
      <c r="S50" s="181"/>
    </row>
    <row r="51" spans="1:19" x14ac:dyDescent="0.2">
      <c r="G51" s="182"/>
    </row>
    <row r="52" spans="1:19" x14ac:dyDescent="0.2">
      <c r="E52" s="27"/>
      <c r="G52" s="168"/>
    </row>
    <row r="53" spans="1:19" x14ac:dyDescent="0.2">
      <c r="E53" s="27"/>
      <c r="G53" s="168"/>
    </row>
    <row r="54" spans="1:19" x14ac:dyDescent="0.2">
      <c r="A54" s="2" t="s">
        <v>118</v>
      </c>
      <c r="B54" s="2"/>
      <c r="C54" s="2"/>
      <c r="D54" s="2"/>
      <c r="E54" s="2"/>
      <c r="F54" s="2"/>
      <c r="G54" s="44"/>
      <c r="H54" s="44"/>
      <c r="I54" s="2"/>
      <c r="J54" s="2"/>
      <c r="K54" s="6"/>
      <c r="L54" s="6"/>
      <c r="M54" s="6"/>
      <c r="N54" s="6"/>
      <c r="O54" s="6"/>
      <c r="P54" s="6"/>
      <c r="Q54" s="6"/>
    </row>
    <row r="55" spans="1:19" x14ac:dyDescent="0.2">
      <c r="E55" s="27"/>
      <c r="G55" s="168"/>
    </row>
    <row r="56" spans="1:19" x14ac:dyDescent="0.2">
      <c r="E56" s="27"/>
      <c r="G56" s="168"/>
    </row>
    <row r="57" spans="1:19" x14ac:dyDescent="0.2">
      <c r="A57"/>
      <c r="B57"/>
      <c r="C57"/>
      <c r="D57"/>
      <c r="E57"/>
      <c r="F57"/>
      <c r="G57"/>
      <c r="H57"/>
    </row>
    <row r="58" spans="1:19" x14ac:dyDescent="0.2">
      <c r="B58" s="212"/>
      <c r="C58" s="212"/>
      <c r="D58" s="212"/>
      <c r="E58" s="212"/>
      <c r="F58" s="212"/>
      <c r="G58" s="212"/>
      <c r="H58" s="212"/>
      <c r="I58" s="212"/>
      <c r="J58" s="212"/>
      <c r="K58" s="212"/>
      <c r="L58" s="212"/>
      <c r="M58" s="212"/>
      <c r="N58" s="212"/>
      <c r="O58" s="212"/>
      <c r="P58" s="212"/>
      <c r="Q58" s="212"/>
    </row>
    <row r="59" spans="1:19" x14ac:dyDescent="0.2">
      <c r="B59" s="212"/>
      <c r="C59" s="212"/>
      <c r="D59" s="212"/>
      <c r="E59" s="212"/>
      <c r="F59" s="212"/>
      <c r="G59" s="212"/>
      <c r="H59" s="212"/>
      <c r="I59" s="212"/>
      <c r="J59" s="212"/>
      <c r="K59" s="212"/>
      <c r="L59" s="212"/>
      <c r="M59" s="212"/>
      <c r="N59" s="212"/>
      <c r="O59" s="212"/>
      <c r="P59" s="212"/>
      <c r="Q59" s="212"/>
    </row>
    <row r="60" spans="1:19" x14ac:dyDescent="0.2">
      <c r="B60" s="212"/>
      <c r="C60" s="212"/>
      <c r="D60" s="212"/>
      <c r="E60" s="212"/>
      <c r="F60" s="212"/>
      <c r="G60" s="212"/>
      <c r="H60" s="212"/>
      <c r="I60" s="212"/>
      <c r="J60" s="212"/>
      <c r="K60" s="212"/>
      <c r="L60" s="212"/>
      <c r="M60" s="212"/>
      <c r="N60" s="212"/>
      <c r="O60" s="212"/>
      <c r="P60" s="212"/>
      <c r="Q60" s="212"/>
    </row>
    <row r="61" spans="1:19" x14ac:dyDescent="0.2">
      <c r="B61" s="212"/>
      <c r="C61" s="212"/>
      <c r="D61" s="212"/>
      <c r="E61" s="212"/>
      <c r="F61" s="212"/>
      <c r="G61" s="212"/>
      <c r="H61" s="212"/>
      <c r="I61" s="212"/>
      <c r="J61" s="212"/>
      <c r="K61" s="212"/>
      <c r="L61" s="212"/>
      <c r="M61" s="212"/>
      <c r="N61" s="212"/>
      <c r="O61" s="212"/>
      <c r="P61" s="212"/>
      <c r="Q61" s="212"/>
    </row>
    <row r="62" spans="1:19" x14ac:dyDescent="0.2">
      <c r="B62" s="212"/>
      <c r="C62" s="212"/>
      <c r="D62" s="212"/>
      <c r="E62" s="212"/>
      <c r="F62" s="212"/>
      <c r="G62" s="212"/>
      <c r="H62" s="212"/>
      <c r="I62" s="212"/>
      <c r="J62" s="212"/>
      <c r="K62" s="212"/>
      <c r="L62" s="212"/>
      <c r="M62" s="212"/>
      <c r="N62" s="212"/>
      <c r="O62" s="212"/>
      <c r="P62" s="212"/>
      <c r="Q62" s="212"/>
    </row>
    <row r="63" spans="1:19" x14ac:dyDescent="0.2">
      <c r="B63" s="212"/>
      <c r="C63" s="212"/>
      <c r="D63" s="212"/>
      <c r="E63" s="212"/>
      <c r="F63" s="212"/>
      <c r="G63" s="212"/>
      <c r="H63" s="212"/>
      <c r="I63" s="212"/>
      <c r="J63" s="212"/>
      <c r="K63" s="212"/>
      <c r="L63" s="212"/>
      <c r="M63" s="212"/>
      <c r="N63" s="212"/>
      <c r="O63" s="212"/>
      <c r="P63" s="212"/>
      <c r="Q63" s="212"/>
    </row>
    <row r="64" spans="1:19" x14ac:dyDescent="0.2">
      <c r="B64" s="212"/>
      <c r="C64" s="212"/>
      <c r="D64" s="212"/>
      <c r="E64" s="212"/>
      <c r="F64" s="212"/>
      <c r="G64" s="212"/>
      <c r="H64" s="212"/>
      <c r="I64" s="212"/>
      <c r="J64" s="212"/>
      <c r="K64" s="212"/>
      <c r="L64" s="212"/>
      <c r="M64" s="212"/>
      <c r="N64" s="212"/>
      <c r="O64" s="212"/>
      <c r="P64" s="212"/>
      <c r="Q64" s="212"/>
    </row>
    <row r="65" spans="1:17 16380:16380" x14ac:dyDescent="0.2">
      <c r="B65" s="212"/>
      <c r="C65" s="212"/>
      <c r="D65" s="212"/>
      <c r="E65" s="212"/>
      <c r="F65" s="212"/>
      <c r="G65" s="212"/>
      <c r="H65" s="212"/>
      <c r="I65" s="212"/>
      <c r="J65" s="212"/>
      <c r="K65" s="212"/>
      <c r="L65" s="212"/>
      <c r="M65" s="212"/>
      <c r="N65" s="212"/>
      <c r="O65" s="212"/>
      <c r="P65" s="212"/>
      <c r="Q65" s="212"/>
    </row>
    <row r="66" spans="1:17 16380:16380" x14ac:dyDescent="0.2">
      <c r="B66" s="212"/>
      <c r="C66" s="212"/>
      <c r="D66" s="212"/>
      <c r="E66" s="212"/>
      <c r="F66" s="212"/>
      <c r="G66" s="212"/>
      <c r="H66" s="212"/>
      <c r="I66" s="212"/>
      <c r="J66" s="212"/>
      <c r="K66" s="212"/>
      <c r="L66" s="212"/>
      <c r="M66" s="212"/>
      <c r="N66" s="212"/>
      <c r="O66" s="212"/>
      <c r="P66" s="212"/>
      <c r="Q66" s="212"/>
    </row>
    <row r="67" spans="1:17 16380:16380" s="12" customFormat="1" x14ac:dyDescent="0.2">
      <c r="A67" s="10"/>
      <c r="B67" s="212"/>
      <c r="C67" s="212"/>
      <c r="D67" s="212"/>
      <c r="E67" s="212"/>
      <c r="F67" s="212"/>
      <c r="G67" s="212"/>
      <c r="H67" s="212"/>
      <c r="I67" s="212"/>
      <c r="J67" s="212"/>
      <c r="K67" s="212"/>
      <c r="L67" s="212"/>
      <c r="M67" s="212"/>
      <c r="N67" s="212"/>
      <c r="O67" s="212"/>
      <c r="P67" s="212"/>
      <c r="Q67" s="212"/>
    </row>
    <row r="68" spans="1:17 16380:16380" x14ac:dyDescent="0.2">
      <c r="B68" s="212"/>
      <c r="C68" s="212"/>
      <c r="D68" s="212"/>
      <c r="E68" s="212"/>
      <c r="F68" s="212"/>
      <c r="G68" s="212"/>
      <c r="H68" s="212"/>
      <c r="I68" s="212"/>
      <c r="J68" s="212"/>
      <c r="K68" s="212"/>
      <c r="L68" s="212"/>
      <c r="M68" s="212"/>
      <c r="N68" s="212"/>
      <c r="O68" s="212"/>
      <c r="P68" s="212"/>
      <c r="Q68" s="212"/>
    </row>
    <row r="69" spans="1:17 16380:16380" x14ac:dyDescent="0.2">
      <c r="B69" s="212"/>
      <c r="C69" s="212"/>
      <c r="D69" s="212"/>
      <c r="E69" s="212"/>
      <c r="F69" s="212"/>
      <c r="G69" s="212"/>
      <c r="H69" s="212"/>
      <c r="I69" s="212"/>
      <c r="J69" s="212"/>
      <c r="K69" s="212"/>
      <c r="L69" s="212"/>
      <c r="M69" s="212"/>
      <c r="N69" s="212"/>
      <c r="O69" s="212"/>
      <c r="P69" s="212"/>
      <c r="Q69" s="212"/>
    </row>
    <row r="70" spans="1:17 16380:16380" x14ac:dyDescent="0.2">
      <c r="B70" s="212"/>
      <c r="C70" s="212"/>
      <c r="D70" s="212"/>
      <c r="E70" s="212"/>
      <c r="F70" s="212"/>
      <c r="G70" s="212"/>
      <c r="H70" s="212"/>
      <c r="I70" s="212"/>
      <c r="J70" s="212"/>
      <c r="K70" s="212"/>
      <c r="L70" s="212"/>
      <c r="M70" s="212"/>
      <c r="N70" s="212"/>
      <c r="O70" s="212"/>
      <c r="P70" s="212"/>
      <c r="Q70" s="212"/>
    </row>
    <row r="71" spans="1:17 16380:16380" x14ac:dyDescent="0.2">
      <c r="B71" s="212"/>
      <c r="C71" s="212"/>
      <c r="D71" s="212"/>
      <c r="E71" s="212"/>
      <c r="F71" s="212"/>
      <c r="G71" s="212"/>
      <c r="H71" s="212"/>
      <c r="I71" s="212"/>
      <c r="J71" s="212"/>
      <c r="K71" s="212"/>
      <c r="L71" s="212"/>
      <c r="M71" s="212"/>
      <c r="N71" s="212"/>
      <c r="O71" s="212"/>
      <c r="P71" s="212"/>
      <c r="Q71" s="212"/>
      <c r="XEZ71" s="8"/>
    </row>
    <row r="72" spans="1:17 16380:16380" x14ac:dyDescent="0.2">
      <c r="B72" s="212"/>
      <c r="C72" s="212"/>
      <c r="D72" s="212"/>
      <c r="E72" s="212"/>
      <c r="F72" s="212"/>
      <c r="G72" s="212"/>
      <c r="H72" s="212"/>
      <c r="I72" s="212"/>
      <c r="J72" s="212"/>
      <c r="K72" s="212"/>
      <c r="L72" s="212"/>
      <c r="M72" s="212"/>
      <c r="N72" s="212"/>
      <c r="O72" s="212"/>
      <c r="P72" s="212"/>
      <c r="Q72" s="212"/>
    </row>
    <row r="73" spans="1:17 16380:16380" x14ac:dyDescent="0.2">
      <c r="B73" s="212"/>
      <c r="C73" s="212"/>
      <c r="D73" s="212"/>
      <c r="E73" s="212"/>
      <c r="F73" s="212"/>
      <c r="G73" s="212"/>
      <c r="H73" s="212"/>
      <c r="I73" s="212"/>
      <c r="J73" s="212"/>
      <c r="K73" s="212"/>
      <c r="L73" s="212"/>
      <c r="M73" s="212"/>
      <c r="N73" s="212"/>
      <c r="O73" s="212"/>
      <c r="P73" s="212"/>
      <c r="Q73" s="212"/>
    </row>
    <row r="74" spans="1:17 16380:16380" x14ac:dyDescent="0.2">
      <c r="B74" s="212"/>
      <c r="C74" s="212"/>
      <c r="D74" s="212"/>
      <c r="E74" s="212"/>
      <c r="F74" s="212"/>
      <c r="G74" s="212"/>
      <c r="H74" s="212"/>
      <c r="I74" s="212"/>
      <c r="J74" s="212"/>
      <c r="K74" s="212"/>
      <c r="L74" s="212"/>
      <c r="M74" s="212"/>
      <c r="N74" s="212"/>
      <c r="O74" s="212"/>
      <c r="P74" s="212"/>
      <c r="Q74" s="212"/>
    </row>
    <row r="75" spans="1:17 16380:16380" x14ac:dyDescent="0.2">
      <c r="B75" s="212"/>
      <c r="C75" s="212"/>
      <c r="D75" s="212"/>
      <c r="E75" s="212"/>
      <c r="F75" s="212"/>
      <c r="G75" s="212"/>
      <c r="H75" s="212"/>
      <c r="I75" s="212"/>
      <c r="J75" s="212"/>
      <c r="K75" s="212"/>
      <c r="L75" s="212"/>
      <c r="M75" s="212"/>
      <c r="N75" s="212"/>
      <c r="O75" s="212"/>
      <c r="P75" s="212"/>
      <c r="Q75" s="212"/>
    </row>
    <row r="76" spans="1:17 16380:16380" x14ac:dyDescent="0.2">
      <c r="B76" s="212"/>
      <c r="C76" s="212"/>
      <c r="D76" s="212"/>
      <c r="E76" s="212"/>
      <c r="F76" s="212"/>
      <c r="G76" s="212"/>
      <c r="H76" s="212"/>
      <c r="I76" s="212"/>
      <c r="J76" s="212"/>
      <c r="K76" s="212"/>
      <c r="L76" s="212"/>
      <c r="M76" s="212"/>
      <c r="N76" s="212"/>
      <c r="O76" s="212"/>
      <c r="P76" s="212"/>
      <c r="Q76" s="212"/>
    </row>
    <row r="77" spans="1:17 16380:16380" x14ac:dyDescent="0.2">
      <c r="B77" s="212"/>
      <c r="C77" s="212"/>
      <c r="D77" s="212"/>
      <c r="E77" s="212"/>
      <c r="F77" s="212"/>
      <c r="G77" s="212"/>
      <c r="H77" s="212"/>
      <c r="I77" s="212"/>
      <c r="J77" s="212"/>
      <c r="K77" s="212"/>
      <c r="L77" s="212"/>
      <c r="M77" s="212"/>
      <c r="N77" s="212"/>
      <c r="O77" s="212"/>
      <c r="P77" s="212"/>
      <c r="Q77" s="212"/>
    </row>
    <row r="78" spans="1:17 16380:16380" x14ac:dyDescent="0.2">
      <c r="B78" s="212"/>
      <c r="C78" s="212"/>
      <c r="D78" s="212"/>
      <c r="E78" s="212"/>
      <c r="F78" s="212"/>
      <c r="G78" s="212"/>
      <c r="H78" s="212"/>
      <c r="I78" s="212"/>
      <c r="J78" s="212"/>
      <c r="K78" s="212"/>
      <c r="L78" s="212"/>
      <c r="M78" s="212"/>
      <c r="N78" s="212"/>
      <c r="O78" s="212"/>
      <c r="P78" s="212"/>
      <c r="Q78" s="212"/>
    </row>
    <row r="79" spans="1:17 16380:16380" x14ac:dyDescent="0.2">
      <c r="B79" s="212"/>
      <c r="C79" s="212"/>
      <c r="D79" s="212"/>
      <c r="E79" s="212"/>
      <c r="F79" s="212"/>
      <c r="G79" s="212"/>
      <c r="H79" s="212"/>
      <c r="I79" s="212"/>
      <c r="J79" s="212"/>
      <c r="K79" s="212"/>
      <c r="L79" s="212"/>
      <c r="M79" s="212"/>
      <c r="N79" s="212"/>
      <c r="O79" s="212"/>
      <c r="P79" s="212"/>
      <c r="Q79" s="212"/>
    </row>
    <row r="80" spans="1:17 16380:16380" x14ac:dyDescent="0.2">
      <c r="B80" s="212"/>
      <c r="C80" s="212"/>
      <c r="D80" s="212"/>
      <c r="E80" s="212"/>
      <c r="F80" s="212"/>
      <c r="G80" s="212"/>
      <c r="H80" s="212"/>
      <c r="I80" s="212"/>
      <c r="J80" s="212"/>
      <c r="K80" s="212"/>
      <c r="L80" s="212"/>
      <c r="M80" s="212"/>
      <c r="N80" s="212"/>
      <c r="O80" s="212"/>
      <c r="P80" s="212"/>
      <c r="Q80" s="212"/>
    </row>
    <row r="81" spans="2:17" x14ac:dyDescent="0.2">
      <c r="B81" s="212"/>
      <c r="C81" s="212"/>
      <c r="D81" s="212"/>
      <c r="E81" s="212"/>
      <c r="F81" s="212"/>
      <c r="G81" s="212"/>
      <c r="H81" s="212"/>
      <c r="I81" s="212"/>
      <c r="J81" s="212"/>
      <c r="K81" s="212"/>
      <c r="L81" s="212"/>
      <c r="M81" s="212"/>
      <c r="N81" s="212"/>
      <c r="O81" s="212"/>
      <c r="P81" s="212"/>
      <c r="Q81" s="212"/>
    </row>
    <row r="82" spans="2:17" x14ac:dyDescent="0.2">
      <c r="B82" s="212"/>
      <c r="C82" s="212"/>
      <c r="D82" s="212"/>
      <c r="E82" s="212"/>
      <c r="F82" s="212"/>
      <c r="G82" s="212"/>
      <c r="H82" s="212"/>
      <c r="I82" s="212"/>
      <c r="J82" s="212"/>
      <c r="K82" s="212"/>
      <c r="L82" s="212"/>
      <c r="M82" s="212"/>
      <c r="N82" s="212"/>
      <c r="O82" s="212"/>
      <c r="P82" s="212"/>
      <c r="Q82" s="212"/>
    </row>
    <row r="83" spans="2:17" x14ac:dyDescent="0.2">
      <c r="B83" s="212"/>
      <c r="C83" s="212"/>
      <c r="D83" s="212"/>
      <c r="E83" s="212"/>
      <c r="F83" s="212"/>
      <c r="G83" s="212"/>
      <c r="H83" s="212"/>
      <c r="I83" s="212"/>
      <c r="J83" s="212"/>
      <c r="K83" s="212"/>
      <c r="L83" s="212"/>
      <c r="M83" s="212"/>
      <c r="N83" s="212"/>
      <c r="O83" s="212"/>
      <c r="P83" s="212"/>
      <c r="Q83" s="212"/>
    </row>
    <row r="84" spans="2:17" x14ac:dyDescent="0.2">
      <c r="B84" s="212"/>
      <c r="C84" s="212"/>
      <c r="D84" s="212"/>
      <c r="E84" s="212"/>
      <c r="F84" s="212"/>
      <c r="G84" s="212"/>
      <c r="H84" s="212"/>
      <c r="I84" s="212"/>
      <c r="J84" s="212"/>
      <c r="K84" s="212"/>
      <c r="L84" s="212"/>
      <c r="M84" s="212"/>
      <c r="N84" s="212"/>
      <c r="O84" s="212"/>
      <c r="P84" s="212"/>
      <c r="Q84" s="212"/>
    </row>
    <row r="85" spans="2:17" x14ac:dyDescent="0.2">
      <c r="B85" s="212"/>
      <c r="C85" s="212"/>
      <c r="D85" s="212"/>
      <c r="E85" s="212"/>
      <c r="F85" s="212"/>
      <c r="G85" s="212"/>
      <c r="H85" s="212"/>
      <c r="I85" s="212"/>
      <c r="J85" s="212"/>
      <c r="K85" s="212"/>
      <c r="L85" s="212"/>
      <c r="M85" s="212"/>
      <c r="N85" s="212"/>
      <c r="O85" s="212"/>
      <c r="P85" s="212"/>
      <c r="Q85" s="212"/>
    </row>
    <row r="86" spans="2:17" x14ac:dyDescent="0.2">
      <c r="B86" s="212"/>
      <c r="C86" s="212"/>
      <c r="D86" s="212"/>
      <c r="E86" s="212"/>
      <c r="F86" s="212"/>
      <c r="G86" s="212"/>
      <c r="H86" s="212"/>
      <c r="I86" s="212"/>
      <c r="J86" s="212"/>
      <c r="K86" s="212"/>
      <c r="L86" s="212"/>
      <c r="M86" s="212"/>
      <c r="N86" s="212"/>
      <c r="O86" s="212"/>
      <c r="P86" s="212"/>
      <c r="Q86" s="212"/>
    </row>
    <row r="87" spans="2:17" x14ac:dyDescent="0.2">
      <c r="B87" s="212"/>
      <c r="C87" s="212"/>
      <c r="D87" s="212"/>
      <c r="E87" s="212"/>
      <c r="F87" s="212"/>
      <c r="G87" s="212"/>
      <c r="H87" s="212"/>
      <c r="I87" s="212"/>
      <c r="J87" s="212"/>
      <c r="K87" s="212"/>
      <c r="L87" s="212"/>
      <c r="M87" s="212"/>
      <c r="N87" s="212"/>
      <c r="O87" s="212"/>
      <c r="P87" s="212"/>
      <c r="Q87" s="212"/>
    </row>
    <row r="88" spans="2:17" x14ac:dyDescent="0.2">
      <c r="B88" s="212"/>
      <c r="C88" s="212"/>
      <c r="D88" s="212"/>
      <c r="E88" s="212"/>
      <c r="F88" s="212"/>
      <c r="G88" s="212"/>
      <c r="H88" s="212"/>
      <c r="I88" s="212"/>
      <c r="J88" s="212"/>
      <c r="K88" s="212"/>
      <c r="L88" s="212"/>
      <c r="M88" s="212"/>
      <c r="N88" s="212"/>
      <c r="O88" s="212"/>
      <c r="P88" s="212"/>
      <c r="Q88" s="212"/>
    </row>
    <row r="89" spans="2:17" x14ac:dyDescent="0.2">
      <c r="B89" s="212"/>
      <c r="C89" s="212"/>
      <c r="D89" s="212"/>
      <c r="E89" s="212"/>
      <c r="F89" s="212"/>
      <c r="G89" s="212"/>
      <c r="H89" s="212"/>
      <c r="I89" s="212"/>
      <c r="J89" s="212"/>
      <c r="K89" s="212"/>
      <c r="L89" s="212"/>
      <c r="M89" s="212"/>
      <c r="N89" s="212"/>
      <c r="O89" s="212"/>
      <c r="P89" s="212"/>
      <c r="Q89" s="212"/>
    </row>
    <row r="90" spans="2:17" x14ac:dyDescent="0.2">
      <c r="B90" s="212"/>
      <c r="C90" s="212"/>
      <c r="D90" s="212"/>
      <c r="E90" s="212"/>
      <c r="F90" s="212"/>
      <c r="G90" s="212"/>
      <c r="H90" s="212"/>
      <c r="I90" s="212"/>
      <c r="J90" s="212"/>
      <c r="K90" s="212"/>
      <c r="L90" s="212"/>
      <c r="M90" s="212"/>
      <c r="N90" s="212"/>
      <c r="O90" s="212"/>
      <c r="P90" s="212"/>
      <c r="Q90" s="212"/>
    </row>
    <row r="91" spans="2:17" x14ac:dyDescent="0.2">
      <c r="B91" s="212"/>
      <c r="C91" s="212"/>
      <c r="D91" s="212"/>
      <c r="E91" s="212"/>
      <c r="F91" s="212"/>
      <c r="G91" s="212"/>
      <c r="H91" s="212"/>
      <c r="I91" s="212"/>
      <c r="J91" s="212"/>
      <c r="K91" s="212"/>
      <c r="L91" s="212"/>
      <c r="M91" s="212"/>
      <c r="N91" s="212"/>
      <c r="O91" s="212"/>
      <c r="P91" s="212"/>
      <c r="Q91" s="212"/>
    </row>
    <row r="92" spans="2:17" x14ac:dyDescent="0.2">
      <c r="B92" s="212"/>
      <c r="C92" s="212"/>
      <c r="D92" s="212"/>
      <c r="E92" s="212"/>
      <c r="F92" s="212"/>
      <c r="G92" s="212"/>
      <c r="H92" s="212"/>
      <c r="I92" s="212"/>
      <c r="J92" s="212"/>
      <c r="K92" s="212"/>
      <c r="L92" s="212"/>
      <c r="M92" s="212"/>
      <c r="N92" s="212"/>
      <c r="O92" s="212"/>
      <c r="P92" s="212"/>
      <c r="Q92" s="212"/>
    </row>
    <row r="93" spans="2:17" x14ac:dyDescent="0.2">
      <c r="B93" s="212"/>
      <c r="C93" s="212"/>
      <c r="D93" s="212"/>
      <c r="E93" s="212"/>
      <c r="F93" s="212"/>
      <c r="G93" s="212"/>
      <c r="H93" s="212"/>
      <c r="I93" s="212"/>
      <c r="J93" s="212"/>
      <c r="K93" s="212"/>
      <c r="L93" s="212"/>
      <c r="M93" s="212"/>
      <c r="N93" s="212"/>
      <c r="O93" s="212"/>
      <c r="P93" s="212"/>
      <c r="Q93" s="212"/>
    </row>
    <row r="94" spans="2:17" x14ac:dyDescent="0.2">
      <c r="B94" s="212"/>
      <c r="C94" s="212"/>
      <c r="D94" s="212"/>
      <c r="E94" s="212"/>
      <c r="F94" s="212"/>
      <c r="G94" s="212"/>
      <c r="H94" s="212"/>
      <c r="I94" s="212"/>
      <c r="J94" s="212"/>
      <c r="K94" s="212"/>
      <c r="L94" s="212"/>
      <c r="M94" s="212"/>
      <c r="N94" s="212"/>
      <c r="O94" s="212"/>
      <c r="P94" s="212"/>
      <c r="Q94" s="212"/>
    </row>
    <row r="95" spans="2:17" x14ac:dyDescent="0.2">
      <c r="B95" s="212"/>
      <c r="C95" s="212"/>
      <c r="D95" s="212"/>
      <c r="E95" s="212"/>
      <c r="F95" s="212"/>
      <c r="G95" s="212"/>
      <c r="H95" s="212"/>
      <c r="I95" s="212"/>
      <c r="J95" s="212"/>
      <c r="K95" s="212"/>
      <c r="L95" s="212"/>
      <c r="M95" s="212"/>
      <c r="N95" s="212"/>
      <c r="O95" s="212"/>
      <c r="P95" s="212"/>
      <c r="Q95" s="212"/>
    </row>
    <row r="96" spans="2:17" x14ac:dyDescent="0.2">
      <c r="B96" s="212"/>
      <c r="C96" s="212"/>
      <c r="D96" s="212"/>
      <c r="E96" s="212"/>
      <c r="F96" s="212"/>
      <c r="G96" s="212"/>
      <c r="H96" s="212"/>
      <c r="I96" s="212"/>
      <c r="J96" s="212"/>
      <c r="K96" s="212"/>
      <c r="L96" s="212"/>
      <c r="M96" s="212"/>
      <c r="N96" s="212"/>
      <c r="O96" s="212"/>
      <c r="P96" s="212"/>
      <c r="Q96" s="212"/>
    </row>
    <row r="97" spans="1:23" x14ac:dyDescent="0.2">
      <c r="B97" s="212"/>
      <c r="C97" s="212"/>
      <c r="D97" s="212"/>
      <c r="E97" s="212"/>
      <c r="F97" s="212"/>
      <c r="G97" s="212"/>
      <c r="H97" s="212"/>
      <c r="I97" s="212"/>
      <c r="J97" s="212"/>
      <c r="K97" s="212"/>
      <c r="L97" s="212"/>
      <c r="M97" s="212"/>
      <c r="N97" s="212"/>
      <c r="O97" s="212"/>
      <c r="P97" s="212"/>
      <c r="Q97" s="212"/>
    </row>
    <row r="98" spans="1:23" x14ac:dyDescent="0.2">
      <c r="B98" s="212"/>
      <c r="C98" s="212"/>
      <c r="D98" s="212"/>
      <c r="E98" s="212"/>
      <c r="F98" s="212"/>
      <c r="G98" s="212"/>
      <c r="H98" s="212"/>
      <c r="I98" s="212"/>
      <c r="J98" s="212"/>
      <c r="K98" s="212"/>
      <c r="L98" s="212"/>
      <c r="M98" s="212"/>
      <c r="N98" s="212"/>
      <c r="O98" s="212"/>
      <c r="P98" s="212"/>
      <c r="Q98" s="212"/>
    </row>
    <row r="99" spans="1:23" x14ac:dyDescent="0.2">
      <c r="B99" s="59"/>
      <c r="C99" s="178"/>
      <c r="D99" s="178"/>
      <c r="E99" s="178"/>
      <c r="F99" s="178"/>
      <c r="G99" s="183"/>
      <c r="H99" s="179"/>
      <c r="I99" s="178"/>
      <c r="J99" s="178"/>
      <c r="K99" s="178"/>
      <c r="L99" s="180"/>
      <c r="M99" s="180"/>
      <c r="N99" s="180"/>
      <c r="O99" s="180"/>
      <c r="P99" s="180"/>
      <c r="Q99" s="180"/>
    </row>
    <row r="100" spans="1:23" x14ac:dyDescent="0.2">
      <c r="B100" s="59"/>
      <c r="C100" s="178"/>
      <c r="D100" s="178"/>
      <c r="E100" s="178"/>
      <c r="F100" s="178"/>
      <c r="G100" s="174"/>
      <c r="H100" s="179"/>
      <c r="I100" s="178"/>
      <c r="J100" s="178"/>
      <c r="K100" s="178"/>
      <c r="L100" s="180"/>
      <c r="M100" s="180"/>
      <c r="N100" s="180"/>
      <c r="O100" s="180"/>
      <c r="P100" s="180"/>
      <c r="Q100" s="180"/>
    </row>
    <row r="103" spans="1:23" x14ac:dyDescent="0.2">
      <c r="A103" s="2" t="s">
        <v>43</v>
      </c>
      <c r="B103" s="2"/>
      <c r="C103" s="2"/>
      <c r="D103" s="2"/>
      <c r="E103" s="2"/>
      <c r="F103" s="2"/>
      <c r="G103" s="44"/>
      <c r="H103" s="44"/>
      <c r="I103" s="2"/>
      <c r="J103" s="2"/>
      <c r="K103" s="6"/>
      <c r="L103" s="6"/>
      <c r="M103" s="6"/>
      <c r="N103" s="6"/>
      <c r="O103" s="6"/>
      <c r="P103" s="6"/>
      <c r="Q103" s="6"/>
      <c r="R103" s="45"/>
      <c r="S103" s="6"/>
    </row>
    <row r="104" spans="1:23" s="12" customFormat="1" x14ac:dyDescent="0.2">
      <c r="A104" s="4"/>
      <c r="B104" s="4"/>
      <c r="C104" s="4"/>
      <c r="D104" s="4"/>
      <c r="E104" s="4"/>
      <c r="F104" s="4"/>
      <c r="G104" s="171"/>
      <c r="H104" s="4"/>
      <c r="I104" s="4"/>
      <c r="J104" s="4"/>
      <c r="K104" s="4"/>
      <c r="L104" s="4"/>
      <c r="M104" s="4"/>
      <c r="N104" s="4"/>
      <c r="O104" s="4"/>
      <c r="P104" s="4"/>
      <c r="Q104" s="4"/>
      <c r="R104" s="45"/>
      <c r="S104" s="1"/>
      <c r="T104" s="1"/>
    </row>
    <row r="105" spans="1:23" x14ac:dyDescent="0.2">
      <c r="B105" s="217"/>
      <c r="C105" s="217"/>
      <c r="D105" s="217"/>
      <c r="E105" s="217"/>
      <c r="F105" s="217"/>
      <c r="G105" s="218"/>
      <c r="H105" s="219"/>
      <c r="I105" s="217"/>
      <c r="J105" s="217"/>
      <c r="K105" s="217"/>
      <c r="L105" s="217"/>
      <c r="M105" s="220"/>
      <c r="N105" s="220"/>
      <c r="O105" s="220"/>
      <c r="P105" s="220"/>
      <c r="Q105" s="220"/>
      <c r="R105" s="45"/>
    </row>
    <row r="106" spans="1:23" x14ac:dyDescent="0.2">
      <c r="B106" s="216"/>
      <c r="C106" s="221"/>
      <c r="D106" s="221"/>
      <c r="E106" s="221"/>
      <c r="F106" s="221"/>
      <c r="G106" s="222"/>
      <c r="H106" s="223"/>
      <c r="I106" s="224"/>
      <c r="J106" s="224"/>
      <c r="K106" s="224"/>
      <c r="L106" s="225"/>
      <c r="M106" s="225"/>
      <c r="N106" s="225"/>
      <c r="O106" s="225"/>
      <c r="P106" s="225"/>
      <c r="Q106" s="225"/>
      <c r="R106" s="45"/>
    </row>
    <row r="107" spans="1:23" x14ac:dyDescent="0.2">
      <c r="B107" s="221"/>
      <c r="C107" s="221"/>
      <c r="D107" s="221"/>
      <c r="E107" s="221"/>
      <c r="F107" s="221"/>
      <c r="G107" s="226"/>
      <c r="H107" s="227"/>
      <c r="I107" s="221"/>
      <c r="J107" s="221"/>
      <c r="K107" s="221"/>
      <c r="L107" s="228"/>
      <c r="M107" s="228"/>
      <c r="N107" s="228"/>
      <c r="O107" s="228"/>
      <c r="P107" s="228"/>
      <c r="Q107" s="228"/>
      <c r="R107" s="45"/>
    </row>
    <row r="108" spans="1:23" x14ac:dyDescent="0.2">
      <c r="K108" s="34"/>
      <c r="L108" s="34"/>
      <c r="M108" s="33"/>
      <c r="N108" s="33"/>
      <c r="O108" s="33"/>
      <c r="P108" s="33"/>
      <c r="Q108" s="33"/>
      <c r="R108" s="45"/>
    </row>
    <row r="109" spans="1:23" x14ac:dyDescent="0.2">
      <c r="B109" s="4" t="s">
        <v>45</v>
      </c>
      <c r="H109" s="52"/>
      <c r="J109" s="33"/>
      <c r="K109" s="33"/>
      <c r="L109" s="33"/>
      <c r="M109" s="33"/>
      <c r="N109" s="33"/>
      <c r="O109" s="33"/>
      <c r="P109" s="33"/>
      <c r="Q109" s="33"/>
      <c r="R109" s="45"/>
      <c r="S109" s="33"/>
      <c r="T109" s="33"/>
      <c r="U109" s="33"/>
      <c r="V109" s="33"/>
      <c r="W109" s="33"/>
    </row>
    <row r="110" spans="1:23" ht="13.5" thickBot="1" x14ac:dyDescent="0.25">
      <c r="B110" s="78" t="str">
        <f ca="1">"Total"&amp;" "&amp;$A$2</f>
        <v>Total Security of critical infr</v>
      </c>
      <c r="C110" s="79"/>
      <c r="D110" s="78"/>
      <c r="E110" s="78"/>
      <c r="F110" s="78"/>
      <c r="G110" s="80" t="s">
        <v>124</v>
      </c>
      <c r="H110" s="81"/>
      <c r="I110" s="78"/>
      <c r="J110" s="82"/>
      <c r="K110" s="82"/>
      <c r="L110" s="83"/>
      <c r="M110" s="83">
        <v>8535.8479086709431</v>
      </c>
      <c r="N110" s="83">
        <v>5759.9025732741584</v>
      </c>
      <c r="O110" s="83">
        <v>5697.4592032624078</v>
      </c>
      <c r="P110" s="83">
        <v>5559.9701886417124</v>
      </c>
      <c r="Q110" s="83">
        <v>5603.0079767700063</v>
      </c>
      <c r="R110" s="45"/>
      <c r="S110" s="83">
        <f>SUM(M110:Q110)</f>
        <v>31156.18785061923</v>
      </c>
      <c r="T110" s="33"/>
      <c r="U110" s="33"/>
      <c r="V110" s="33"/>
      <c r="W110" s="33"/>
    </row>
    <row r="111" spans="1:23" ht="13.5" thickTop="1" x14ac:dyDescent="0.2"/>
  </sheetData>
  <mergeCells count="1">
    <mergeCell ref="B6:H6"/>
  </mergeCells>
  <pageMargins left="0.7" right="0.7" top="0.75" bottom="0.75" header="0.3" footer="0.3"/>
  <pageSetup paperSize="8"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FF00"/>
  </sheetPr>
  <dimension ref="A1:W277"/>
  <sheetViews>
    <sheetView showGridLines="0" zoomScale="85" zoomScaleNormal="85" workbookViewId="0">
      <pane xSplit="2" ySplit="2" topLeftCell="C3" activePane="bottomRight" state="frozen"/>
      <selection activeCell="K47" sqref="K47"/>
      <selection pane="topRight" activeCell="K47" sqref="K47"/>
      <selection pane="bottomLeft" activeCell="K47" sqref="K47"/>
      <selection pane="bottomRight"/>
    </sheetView>
  </sheetViews>
  <sheetFormatPr defaultColWidth="9" defaultRowHeight="12.75" x14ac:dyDescent="0.2"/>
  <cols>
    <col min="1" max="1" width="2" style="1" customWidth="1"/>
    <col min="2" max="2" width="35.875" style="1" customWidth="1"/>
    <col min="3" max="3" width="11.5" style="1" customWidth="1"/>
    <col min="4" max="4" width="1.5" style="1" customWidth="1"/>
    <col min="5" max="6" width="1.875" style="1" customWidth="1"/>
    <col min="7" max="7" width="8.875" style="1" bestFit="1" customWidth="1"/>
    <col min="8" max="8" width="1.875" style="1" customWidth="1"/>
    <col min="9" max="10" width="1.5" style="1" customWidth="1"/>
    <col min="11" max="11" width="8.625" style="1" customWidth="1"/>
    <col min="12" max="18" width="10.375" style="1" customWidth="1"/>
    <col min="19" max="19" width="9" style="1"/>
    <col min="20" max="20" width="11" style="1" customWidth="1"/>
    <col min="21" max="16384" width="9" style="1"/>
  </cols>
  <sheetData>
    <row r="1" spans="1:19" ht="21" x14ac:dyDescent="0.35">
      <c r="A1" s="3" t="s">
        <v>28</v>
      </c>
      <c r="L1" s="192" t="s">
        <v>121</v>
      </c>
      <c r="M1" s="176" t="s">
        <v>122</v>
      </c>
    </row>
    <row r="2" spans="1:19" ht="18.75" x14ac:dyDescent="0.3">
      <c r="A2" s="7" t="str">
        <f ca="1">RIGHT(CELL("filename",A1),LEN(CELL("filename",A1))-FIND("]",CELL("filename",A1),1))</f>
        <v>Demand management</v>
      </c>
    </row>
    <row r="3" spans="1:19" x14ac:dyDescent="0.2">
      <c r="A3" s="1" t="s">
        <v>61</v>
      </c>
    </row>
    <row r="5" spans="1:19" x14ac:dyDescent="0.2">
      <c r="A5" s="2" t="s">
        <v>12</v>
      </c>
      <c r="B5" s="2"/>
      <c r="C5" s="2"/>
      <c r="D5" s="2"/>
      <c r="E5" s="2"/>
      <c r="F5" s="2"/>
      <c r="G5" s="2"/>
      <c r="H5" s="2"/>
      <c r="I5" s="6"/>
      <c r="J5" s="2"/>
      <c r="K5" s="6"/>
      <c r="L5" s="6"/>
      <c r="M5" s="6"/>
      <c r="N5" s="6"/>
      <c r="O5" s="6"/>
      <c r="P5" s="6"/>
      <c r="Q5" s="6"/>
      <c r="R5" s="6"/>
      <c r="S5" s="6"/>
    </row>
    <row r="6" spans="1:19" x14ac:dyDescent="0.2">
      <c r="B6" s="232"/>
      <c r="C6" s="232"/>
      <c r="D6" s="232"/>
      <c r="E6" s="232"/>
      <c r="F6" s="232"/>
      <c r="G6" s="232"/>
      <c r="H6" s="232"/>
      <c r="M6" s="8"/>
      <c r="N6" s="8"/>
      <c r="O6" s="8"/>
      <c r="P6" s="8"/>
      <c r="Q6" s="8"/>
    </row>
    <row r="7" spans="1:19" x14ac:dyDescent="0.2">
      <c r="B7" s="51"/>
      <c r="C7" s="51"/>
      <c r="D7" s="51"/>
      <c r="E7" s="51"/>
      <c r="F7" s="51"/>
      <c r="G7" s="51"/>
      <c r="H7" s="51"/>
      <c r="M7" s="8"/>
      <c r="N7" s="8"/>
      <c r="O7" s="8"/>
      <c r="P7" s="8"/>
      <c r="Q7" s="8"/>
    </row>
    <row r="8" spans="1:19" x14ac:dyDescent="0.2">
      <c r="I8" s="22"/>
      <c r="M8" s="8"/>
    </row>
    <row r="9" spans="1:19" x14ac:dyDescent="0.2">
      <c r="B9" s="46" t="s">
        <v>35</v>
      </c>
      <c r="M9" s="8"/>
    </row>
    <row r="10" spans="1:19" x14ac:dyDescent="0.2">
      <c r="B10" s="47" t="s">
        <v>38</v>
      </c>
    </row>
    <row r="11" spans="1:19" x14ac:dyDescent="0.2">
      <c r="B11" s="47" t="s">
        <v>60</v>
      </c>
    </row>
    <row r="12" spans="1:19" x14ac:dyDescent="0.2">
      <c r="B12" s="95" t="s">
        <v>58</v>
      </c>
    </row>
    <row r="13" spans="1:19" x14ac:dyDescent="0.2">
      <c r="B13" s="95"/>
    </row>
    <row r="15" spans="1:19" x14ac:dyDescent="0.2">
      <c r="A15" s="2" t="s">
        <v>130</v>
      </c>
      <c r="B15" s="2"/>
      <c r="C15" s="2"/>
      <c r="D15" s="2"/>
      <c r="E15" s="2"/>
      <c r="F15" s="2"/>
      <c r="G15" s="44"/>
      <c r="H15" s="2"/>
      <c r="I15" s="6"/>
      <c r="J15" s="2"/>
      <c r="K15" s="6" t="s">
        <v>14</v>
      </c>
      <c r="L15" s="6" t="s">
        <v>15</v>
      </c>
      <c r="M15" s="6" t="s">
        <v>16</v>
      </c>
      <c r="N15" s="6" t="s">
        <v>17</v>
      </c>
      <c r="O15" s="6" t="s">
        <v>18</v>
      </c>
      <c r="P15" s="6" t="s">
        <v>19</v>
      </c>
      <c r="Q15" s="6" t="s">
        <v>20</v>
      </c>
    </row>
    <row r="16" spans="1:19" s="12" customFormat="1" x14ac:dyDescent="0.2">
      <c r="A16" s="10"/>
      <c r="B16" s="10"/>
      <c r="C16" s="10"/>
      <c r="D16" s="10"/>
      <c r="E16" s="10"/>
      <c r="F16" s="10"/>
      <c r="G16" s="10"/>
      <c r="H16" s="10"/>
      <c r="I16" s="11"/>
      <c r="J16" s="10"/>
      <c r="K16" s="10"/>
      <c r="L16" s="10"/>
      <c r="M16" s="10"/>
      <c r="N16" s="10"/>
      <c r="O16" s="10"/>
      <c r="P16" s="10"/>
      <c r="Q16" s="10"/>
      <c r="R16" s="1"/>
    </row>
    <row r="17" spans="1:19" x14ac:dyDescent="0.2">
      <c r="A17" s="1" t="s">
        <v>84</v>
      </c>
      <c r="C17" s="135">
        <v>31475.607623710399</v>
      </c>
      <c r="E17" s="122"/>
      <c r="G17" s="26">
        <v>2019</v>
      </c>
    </row>
    <row r="18" spans="1:19" x14ac:dyDescent="0.2">
      <c r="A18" s="1" t="s">
        <v>83</v>
      </c>
      <c r="C18" s="198">
        <v>2.75E-2</v>
      </c>
    </row>
    <row r="19" spans="1:19" x14ac:dyDescent="0.2">
      <c r="A19" s="1" t="s">
        <v>82</v>
      </c>
      <c r="C19" s="135">
        <v>50</v>
      </c>
    </row>
    <row r="20" spans="1:19" x14ac:dyDescent="0.2">
      <c r="A20" s="1" t="s">
        <v>129</v>
      </c>
      <c r="C20" s="231">
        <v>5.0000000000000001E-3</v>
      </c>
    </row>
    <row r="21" spans="1:19" x14ac:dyDescent="0.2">
      <c r="A21" s="134"/>
      <c r="B21" s="134"/>
    </row>
    <row r="22" spans="1:19" x14ac:dyDescent="0.2">
      <c r="A22" s="233" t="s">
        <v>81</v>
      </c>
      <c r="B22" s="233"/>
      <c r="C22" s="234"/>
      <c r="D22" s="234"/>
      <c r="E22" s="234"/>
      <c r="F22" s="234"/>
      <c r="G22" s="234"/>
      <c r="H22" s="234"/>
      <c r="I22" s="234"/>
      <c r="J22" s="234"/>
      <c r="K22" s="234"/>
      <c r="L22" s="234"/>
      <c r="M22" s="234"/>
      <c r="N22" s="234"/>
      <c r="O22" s="234"/>
      <c r="P22" s="234"/>
      <c r="Q22" s="234"/>
      <c r="R22" s="234"/>
      <c r="S22" s="234"/>
    </row>
    <row r="23" spans="1:19" x14ac:dyDescent="0.2">
      <c r="A23" s="133"/>
      <c r="B23" s="133"/>
    </row>
    <row r="24" spans="1:19" x14ac:dyDescent="0.2">
      <c r="A24" s="98"/>
      <c r="B24" s="98"/>
      <c r="C24" s="98"/>
      <c r="D24" s="98"/>
      <c r="E24" s="98"/>
      <c r="F24" s="98"/>
      <c r="G24" s="98"/>
      <c r="H24" s="98"/>
      <c r="I24" s="98"/>
      <c r="J24" s="98"/>
      <c r="K24" s="130" t="s">
        <v>14</v>
      </c>
      <c r="L24" s="130" t="s">
        <v>15</v>
      </c>
      <c r="M24" s="130" t="s">
        <v>16</v>
      </c>
      <c r="N24" s="130" t="s">
        <v>17</v>
      </c>
      <c r="O24" s="130" t="s">
        <v>18</v>
      </c>
      <c r="P24" s="130" t="s">
        <v>19</v>
      </c>
      <c r="Q24" s="130" t="s">
        <v>20</v>
      </c>
      <c r="R24" s="130" t="s">
        <v>79</v>
      </c>
    </row>
    <row r="25" spans="1:19" x14ac:dyDescent="0.2">
      <c r="A25" s="1" t="s">
        <v>77</v>
      </c>
      <c r="G25" s="26">
        <v>2019</v>
      </c>
      <c r="L25" s="190">
        <v>0</v>
      </c>
      <c r="M25" s="190">
        <v>0</v>
      </c>
      <c r="N25" s="200">
        <v>0</v>
      </c>
      <c r="O25" s="128">
        <f>-PMT($C$18,$C$19,$C$17)</f>
        <v>1165.8854482470779</v>
      </c>
      <c r="P25" s="128">
        <f>-PMT($C$18,$C$19,$C$17)</f>
        <v>1165.8854482470779</v>
      </c>
      <c r="Q25" s="128">
        <f>-PMT($C$18,$C$19,$C$17)</f>
        <v>1165.8854482470779</v>
      </c>
      <c r="R25" s="128">
        <f>-PMT($C$18,$C$19,$C$17)</f>
        <v>1165.8854482470779</v>
      </c>
    </row>
    <row r="26" spans="1:19" x14ac:dyDescent="0.2">
      <c r="A26" s="1" t="s">
        <v>76</v>
      </c>
      <c r="G26" s="26"/>
      <c r="L26" s="190">
        <v>0</v>
      </c>
      <c r="M26" s="190">
        <v>0</v>
      </c>
      <c r="N26" s="200">
        <v>0</v>
      </c>
      <c r="O26" s="128">
        <f>$C$20*$C$17</f>
        <v>157.37803811855198</v>
      </c>
      <c r="P26" s="128">
        <f t="shared" ref="P26:R26" si="0">$C$20*$C$17</f>
        <v>157.37803811855198</v>
      </c>
      <c r="Q26" s="128">
        <f t="shared" si="0"/>
        <v>157.37803811855198</v>
      </c>
      <c r="R26" s="128">
        <f t="shared" si="0"/>
        <v>157.37803811855198</v>
      </c>
    </row>
    <row r="27" spans="1:19" s="12" customFormat="1" x14ac:dyDescent="0.2">
      <c r="A27" s="12" t="s">
        <v>75</v>
      </c>
      <c r="G27" s="26">
        <v>2019</v>
      </c>
      <c r="K27" s="185"/>
      <c r="L27" s="200">
        <v>790.9362015970122</v>
      </c>
      <c r="M27" s="200">
        <v>914.57110230213141</v>
      </c>
      <c r="N27" s="200">
        <v>1193.2749464340413</v>
      </c>
      <c r="O27" s="188">
        <v>0</v>
      </c>
      <c r="P27" s="188">
        <v>0</v>
      </c>
      <c r="Q27" s="188">
        <v>0</v>
      </c>
      <c r="R27" s="188">
        <v>0</v>
      </c>
      <c r="S27" s="189"/>
    </row>
    <row r="28" spans="1:19" x14ac:dyDescent="0.2">
      <c r="A28" s="126" t="s">
        <v>74</v>
      </c>
      <c r="B28" s="126"/>
      <c r="C28" s="126"/>
      <c r="D28" s="126"/>
      <c r="E28" s="126"/>
      <c r="F28" s="126"/>
      <c r="G28" s="204">
        <v>2019</v>
      </c>
      <c r="H28" s="126"/>
      <c r="I28" s="126"/>
      <c r="J28" s="126"/>
      <c r="K28" s="126"/>
      <c r="L28" s="125">
        <f t="shared" ref="L28:R28" si="1">SUM(L25:L27)</f>
        <v>790.9362015970122</v>
      </c>
      <c r="M28" s="125">
        <f t="shared" si="1"/>
        <v>914.57110230213141</v>
      </c>
      <c r="N28" s="125">
        <f t="shared" si="1"/>
        <v>1193.2749464340413</v>
      </c>
      <c r="O28" s="125">
        <f t="shared" si="1"/>
        <v>1323.2634863656299</v>
      </c>
      <c r="P28" s="125">
        <f t="shared" si="1"/>
        <v>1323.2634863656299</v>
      </c>
      <c r="Q28" s="125">
        <f t="shared" si="1"/>
        <v>1323.2634863656299</v>
      </c>
      <c r="R28" s="125">
        <f t="shared" si="1"/>
        <v>1323.2634863656299</v>
      </c>
    </row>
    <row r="29" spans="1:19" x14ac:dyDescent="0.2">
      <c r="A29" s="4"/>
      <c r="B29" s="4"/>
      <c r="K29" s="4"/>
      <c r="L29" s="116"/>
      <c r="M29" s="116"/>
      <c r="N29" s="116"/>
      <c r="O29" s="116"/>
      <c r="P29" s="116"/>
    </row>
    <row r="30" spans="1:19" x14ac:dyDescent="0.2">
      <c r="A30" s="4" t="s">
        <v>80</v>
      </c>
      <c r="B30" s="132"/>
      <c r="C30" s="124">
        <f>NPV($C$18,L28:R28)</f>
        <v>7297.5269436257186</v>
      </c>
      <c r="G30" s="26">
        <v>2019</v>
      </c>
      <c r="L30" s="115"/>
      <c r="M30" s="115"/>
    </row>
    <row r="31" spans="1:19" x14ac:dyDescent="0.2">
      <c r="B31" s="132"/>
      <c r="C31" s="122"/>
      <c r="D31" s="122"/>
      <c r="E31" s="122"/>
    </row>
    <row r="32" spans="1:19" x14ac:dyDescent="0.2">
      <c r="B32" s="132"/>
      <c r="C32" s="122"/>
      <c r="D32" s="122"/>
      <c r="E32" s="122"/>
      <c r="F32" s="122"/>
      <c r="G32" s="122"/>
    </row>
    <row r="33" spans="1:19" x14ac:dyDescent="0.2">
      <c r="B33" s="132"/>
    </row>
    <row r="34" spans="1:19" s="235" customFormat="1" x14ac:dyDescent="0.2">
      <c r="A34" s="233" t="s">
        <v>70</v>
      </c>
      <c r="B34" s="233"/>
      <c r="C34" s="234"/>
      <c r="D34" s="234"/>
      <c r="E34" s="234"/>
      <c r="F34" s="234"/>
      <c r="G34" s="234"/>
      <c r="H34" s="234"/>
      <c r="I34" s="234"/>
      <c r="J34" s="234"/>
      <c r="K34" s="234"/>
      <c r="L34" s="234"/>
      <c r="M34" s="234"/>
      <c r="N34" s="234"/>
      <c r="O34" s="234"/>
      <c r="P34" s="234"/>
      <c r="Q34" s="234"/>
      <c r="R34" s="234"/>
      <c r="S34" s="234"/>
    </row>
    <row r="35" spans="1:19" x14ac:dyDescent="0.2">
      <c r="B35" s="132"/>
    </row>
    <row r="36" spans="1:19" x14ac:dyDescent="0.2">
      <c r="A36" s="98"/>
      <c r="B36" s="131"/>
      <c r="C36" s="131"/>
      <c r="D36" s="131"/>
      <c r="E36" s="131"/>
      <c r="F36" s="131"/>
      <c r="G36" s="131"/>
      <c r="H36" s="131"/>
      <c r="I36" s="131"/>
      <c r="J36" s="131"/>
      <c r="K36" s="130" t="s">
        <v>14</v>
      </c>
      <c r="L36" s="130" t="s">
        <v>15</v>
      </c>
      <c r="M36" s="130" t="s">
        <v>16</v>
      </c>
      <c r="N36" s="130" t="s">
        <v>17</v>
      </c>
      <c r="O36" s="130" t="s">
        <v>18</v>
      </c>
      <c r="P36" s="130" t="s">
        <v>19</v>
      </c>
      <c r="Q36" s="130" t="s">
        <v>20</v>
      </c>
      <c r="R36" s="130" t="s">
        <v>79</v>
      </c>
    </row>
    <row r="37" spans="1:19" x14ac:dyDescent="0.2">
      <c r="A37" s="1" t="s">
        <v>78</v>
      </c>
      <c r="B37" s="129"/>
      <c r="G37" s="26">
        <v>2019</v>
      </c>
      <c r="L37" s="128"/>
      <c r="M37" s="128">
        <v>0</v>
      </c>
      <c r="N37" s="128">
        <v>0</v>
      </c>
      <c r="O37" s="128">
        <v>0</v>
      </c>
      <c r="P37" s="128">
        <v>0</v>
      </c>
      <c r="Q37" s="128">
        <v>0</v>
      </c>
      <c r="R37" s="128">
        <f>C17</f>
        <v>31475.607623710399</v>
      </c>
    </row>
    <row r="38" spans="1:19" x14ac:dyDescent="0.2">
      <c r="A38" s="1" t="s">
        <v>77</v>
      </c>
      <c r="B38" s="129"/>
      <c r="G38" s="26">
        <v>2019</v>
      </c>
      <c r="L38" s="128"/>
      <c r="M38" s="128">
        <v>0</v>
      </c>
      <c r="N38" s="128">
        <v>0</v>
      </c>
      <c r="O38" s="128">
        <v>0</v>
      </c>
      <c r="P38" s="128">
        <v>0</v>
      </c>
      <c r="Q38" s="128">
        <v>0</v>
      </c>
      <c r="R38" s="128">
        <v>0</v>
      </c>
    </row>
    <row r="39" spans="1:19" x14ac:dyDescent="0.2">
      <c r="A39" s="1" t="s">
        <v>76</v>
      </c>
      <c r="G39" s="26">
        <v>2019</v>
      </c>
      <c r="M39" s="128">
        <v>0</v>
      </c>
      <c r="N39" s="128">
        <v>0</v>
      </c>
      <c r="O39" s="128">
        <v>0</v>
      </c>
      <c r="P39" s="128">
        <v>0</v>
      </c>
      <c r="Q39" s="128">
        <v>0</v>
      </c>
      <c r="R39" s="128">
        <v>0</v>
      </c>
    </row>
    <row r="40" spans="1:19" s="12" customFormat="1" x14ac:dyDescent="0.2">
      <c r="A40" s="12" t="s">
        <v>75</v>
      </c>
      <c r="G40" s="26">
        <v>2019</v>
      </c>
      <c r="L40" s="201">
        <v>75.805575379144557</v>
      </c>
      <c r="M40" s="201">
        <v>83.213370169959063</v>
      </c>
      <c r="N40" s="201">
        <v>168.05723556068941</v>
      </c>
      <c r="O40" s="201">
        <v>224.5546797473402</v>
      </c>
      <c r="P40" s="201">
        <v>295.69947081492586</v>
      </c>
      <c r="Q40" s="201">
        <v>295.69947081492586</v>
      </c>
      <c r="R40" s="201">
        <v>295.69947081492586</v>
      </c>
      <c r="S40" s="189"/>
    </row>
    <row r="41" spans="1:19" s="12" customFormat="1" x14ac:dyDescent="0.2">
      <c r="A41" s="186" t="s">
        <v>120</v>
      </c>
      <c r="B41" s="187"/>
      <c r="C41" s="186"/>
      <c r="D41" s="186"/>
      <c r="E41" s="186"/>
      <c r="F41" s="186"/>
      <c r="G41" s="26">
        <v>2019</v>
      </c>
      <c r="H41" s="186"/>
      <c r="I41" s="186"/>
      <c r="J41" s="186"/>
      <c r="K41" s="186"/>
      <c r="L41" s="202">
        <v>716.60580200000004</v>
      </c>
      <c r="M41" s="202">
        <v>1088.6854295009728</v>
      </c>
      <c r="N41" s="202">
        <v>816.28049428079862</v>
      </c>
      <c r="O41" s="202">
        <v>821.26209868752289</v>
      </c>
      <c r="P41" s="202">
        <v>827.32771128227978</v>
      </c>
      <c r="Q41" s="202">
        <v>827.32771128227978</v>
      </c>
      <c r="R41" s="202">
        <v>827.3287112822801</v>
      </c>
      <c r="S41" s="189"/>
    </row>
    <row r="42" spans="1:19" x14ac:dyDescent="0.2">
      <c r="A42" s="126" t="s">
        <v>74</v>
      </c>
      <c r="B42" s="127"/>
      <c r="C42" s="126"/>
      <c r="D42" s="126"/>
      <c r="E42" s="126"/>
      <c r="F42" s="126"/>
      <c r="G42" s="204">
        <v>2019</v>
      </c>
      <c r="H42" s="126"/>
      <c r="I42" s="126"/>
      <c r="J42" s="126"/>
      <c r="K42" s="126"/>
      <c r="L42" s="125">
        <f t="shared" ref="L42:R42" si="2">L38+L39+L40+L41</f>
        <v>792.4113773791446</v>
      </c>
      <c r="M42" s="125">
        <f t="shared" si="2"/>
        <v>1171.8987996709318</v>
      </c>
      <c r="N42" s="125">
        <f t="shared" si="2"/>
        <v>984.337729841488</v>
      </c>
      <c r="O42" s="125">
        <f t="shared" si="2"/>
        <v>1045.8167784348632</v>
      </c>
      <c r="P42" s="125">
        <f t="shared" si="2"/>
        <v>1123.0271820972057</v>
      </c>
      <c r="Q42" s="125">
        <f t="shared" si="2"/>
        <v>1123.0271820972057</v>
      </c>
      <c r="R42" s="125">
        <f t="shared" si="2"/>
        <v>1123.0281820972059</v>
      </c>
    </row>
    <row r="43" spans="1:19" x14ac:dyDescent="0.2">
      <c r="A43" s="4"/>
      <c r="B43" s="4"/>
      <c r="C43" s="4"/>
      <c r="D43" s="116"/>
      <c r="E43" s="116"/>
      <c r="F43" s="116"/>
      <c r="G43" s="116"/>
      <c r="H43" s="116"/>
    </row>
    <row r="44" spans="1:19" x14ac:dyDescent="0.2">
      <c r="A44" s="4" t="s">
        <v>73</v>
      </c>
      <c r="C44" s="124">
        <f>NPV($C18, L42:R42)</f>
        <v>6590.580746030234</v>
      </c>
      <c r="D44" s="122"/>
      <c r="E44" s="122"/>
      <c r="G44" s="26">
        <v>2019</v>
      </c>
    </row>
    <row r="45" spans="1:19" x14ac:dyDescent="0.2">
      <c r="A45" s="4"/>
      <c r="B45" s="4"/>
      <c r="C45" s="123"/>
      <c r="D45" s="4"/>
      <c r="E45" s="4"/>
    </row>
    <row r="47" spans="1:19" x14ac:dyDescent="0.2">
      <c r="D47" s="122"/>
      <c r="E47" s="122"/>
      <c r="F47" s="122"/>
      <c r="G47" s="122"/>
      <c r="H47" s="122"/>
      <c r="I47" s="122"/>
      <c r="J47" s="122"/>
      <c r="K47" s="122"/>
    </row>
    <row r="48" spans="1:19" s="235" customFormat="1" x14ac:dyDescent="0.2">
      <c r="A48" s="233" t="s">
        <v>72</v>
      </c>
      <c r="B48" s="233"/>
      <c r="C48" s="234"/>
      <c r="D48" s="234"/>
      <c r="E48" s="234"/>
      <c r="F48" s="234"/>
      <c r="G48" s="234"/>
      <c r="H48" s="234"/>
      <c r="I48" s="234"/>
      <c r="J48" s="234"/>
      <c r="K48" s="234"/>
      <c r="L48" s="234"/>
      <c r="M48" s="234"/>
      <c r="N48" s="234"/>
      <c r="O48" s="234"/>
      <c r="P48" s="234"/>
      <c r="Q48" s="234"/>
      <c r="R48" s="234"/>
      <c r="S48" s="234"/>
    </row>
    <row r="50" spans="1:19" x14ac:dyDescent="0.2">
      <c r="A50" s="4" t="s">
        <v>71</v>
      </c>
    </row>
    <row r="51" spans="1:19" x14ac:dyDescent="0.2">
      <c r="A51" s="121" t="str">
        <f>A22</f>
        <v>1. Capex without demand management</v>
      </c>
      <c r="B51" s="120"/>
      <c r="C51" s="119">
        <f>C30</f>
        <v>7297.5269436257186</v>
      </c>
      <c r="G51" s="26">
        <v>2019</v>
      </c>
    </row>
    <row r="52" spans="1:19" x14ac:dyDescent="0.2">
      <c r="A52" s="118" t="s">
        <v>70</v>
      </c>
      <c r="B52" s="98"/>
      <c r="C52" s="194">
        <f>C44</f>
        <v>6590.580746030234</v>
      </c>
      <c r="G52" s="26">
        <v>2019</v>
      </c>
    </row>
    <row r="53" spans="1:19" x14ac:dyDescent="0.2">
      <c r="A53" s="35" t="s">
        <v>69</v>
      </c>
      <c r="B53" s="35"/>
      <c r="C53" s="117">
        <f>C30-C44</f>
        <v>706.94619759548459</v>
      </c>
      <c r="G53" s="26">
        <v>2019</v>
      </c>
    </row>
    <row r="54" spans="1:19" x14ac:dyDescent="0.2">
      <c r="A54" s="4"/>
      <c r="B54" s="4"/>
      <c r="C54" s="4"/>
      <c r="D54" s="116"/>
      <c r="E54" s="116"/>
      <c r="F54" s="116"/>
      <c r="G54" s="116"/>
      <c r="H54" s="116"/>
    </row>
    <row r="55" spans="1:19" x14ac:dyDescent="0.2">
      <c r="A55" s="4" t="s">
        <v>68</v>
      </c>
      <c r="C55" s="203" t="str">
        <f>INDEX(A51:A52, MATCH(MIN($C$51:$C$52), $C$51:$C$52,0))</f>
        <v>2. Deferred capex with demand management</v>
      </c>
      <c r="D55" s="203"/>
      <c r="E55" s="203"/>
      <c r="F55" s="203"/>
      <c r="G55" s="203"/>
      <c r="H55" s="203"/>
      <c r="I55" s="203"/>
      <c r="J55" s="203"/>
    </row>
    <row r="56" spans="1:19" s="12" customFormat="1" x14ac:dyDescent="0.2">
      <c r="A56" s="10"/>
      <c r="B56" s="10"/>
      <c r="C56" s="10"/>
      <c r="D56" s="10"/>
      <c r="E56" s="10"/>
      <c r="F56" s="10"/>
      <c r="G56" s="10"/>
      <c r="H56" s="10"/>
      <c r="I56" s="11"/>
      <c r="J56" s="10"/>
      <c r="K56" s="10"/>
      <c r="L56" s="10"/>
      <c r="M56" s="10"/>
      <c r="N56" s="10"/>
      <c r="O56" s="10"/>
      <c r="P56" s="10"/>
      <c r="Q56" s="10"/>
      <c r="R56" s="1"/>
    </row>
    <row r="57" spans="1:19" x14ac:dyDescent="0.2">
      <c r="A57" s="2" t="s">
        <v>119</v>
      </c>
      <c r="B57" s="2"/>
      <c r="C57" s="2"/>
      <c r="D57" s="2"/>
      <c r="E57" s="2"/>
      <c r="F57" s="2"/>
      <c r="G57" s="44"/>
      <c r="H57" s="2"/>
      <c r="I57" s="6"/>
      <c r="J57" s="2"/>
      <c r="K57" s="6"/>
      <c r="L57" s="6"/>
      <c r="M57" s="6"/>
      <c r="N57" s="6"/>
      <c r="O57" s="6"/>
      <c r="P57" s="6"/>
      <c r="Q57" s="6"/>
      <c r="R57" s="6"/>
      <c r="S57" s="6"/>
    </row>
    <row r="58" spans="1:19" s="12" customFormat="1" x14ac:dyDescent="0.2">
      <c r="A58" s="10"/>
      <c r="B58" s="10"/>
      <c r="C58" s="10"/>
      <c r="D58" s="10"/>
      <c r="E58" s="10"/>
      <c r="F58" s="10"/>
      <c r="G58" s="10"/>
      <c r="H58" s="10"/>
      <c r="I58" s="11"/>
      <c r="J58" s="10"/>
      <c r="K58" s="10"/>
      <c r="L58" s="10"/>
      <c r="M58" s="10"/>
      <c r="N58" s="10"/>
      <c r="O58" s="10"/>
      <c r="P58" s="10"/>
      <c r="Q58" s="10"/>
      <c r="R58" s="1"/>
    </row>
    <row r="59" spans="1:19" x14ac:dyDescent="0.2">
      <c r="B59" s="1" t="s">
        <v>9</v>
      </c>
      <c r="G59" s="25">
        <v>2020</v>
      </c>
      <c r="M59" s="8"/>
      <c r="N59" s="8"/>
      <c r="O59" s="8"/>
      <c r="P59" s="8"/>
      <c r="Q59" s="8"/>
    </row>
    <row r="61" spans="1:19" x14ac:dyDescent="0.2">
      <c r="B61" s="1" t="s">
        <v>123</v>
      </c>
      <c r="G61" s="26">
        <v>2020</v>
      </c>
      <c r="M61" s="177">
        <f>267.492731</f>
        <v>267.49273099999999</v>
      </c>
      <c r="N61" s="177">
        <f t="shared" ref="N61:Q61" si="3">267.492731</f>
        <v>267.49273099999999</v>
      </c>
      <c r="O61" s="177">
        <f t="shared" si="3"/>
        <v>267.49273099999999</v>
      </c>
      <c r="P61" s="177">
        <f t="shared" si="3"/>
        <v>267.49273099999999</v>
      </c>
      <c r="Q61" s="177">
        <f t="shared" si="3"/>
        <v>267.49273099999999</v>
      </c>
    </row>
    <row r="63" spans="1:19" x14ac:dyDescent="0.2">
      <c r="B63" s="1" t="s">
        <v>33</v>
      </c>
      <c r="G63" s="26">
        <v>2020</v>
      </c>
      <c r="M63" s="205">
        <f>M$41</f>
        <v>1088.6854295009728</v>
      </c>
      <c r="N63" s="205">
        <f t="shared" ref="N63:Q63" si="4">N$41</f>
        <v>816.28049428079862</v>
      </c>
      <c r="O63" s="205">
        <f t="shared" si="4"/>
        <v>821.26209868752289</v>
      </c>
      <c r="P63" s="205">
        <f t="shared" si="4"/>
        <v>827.32771128227978</v>
      </c>
      <c r="Q63" s="205">
        <f t="shared" si="4"/>
        <v>827.32771128227978</v>
      </c>
      <c r="S63" s="189"/>
    </row>
    <row r="64" spans="1:19" x14ac:dyDescent="0.2">
      <c r="B64" s="1" t="s">
        <v>29</v>
      </c>
      <c r="G64" s="26">
        <v>2019</v>
      </c>
      <c r="H64" s="35" t="s">
        <v>64</v>
      </c>
      <c r="M64" s="199">
        <v>0</v>
      </c>
      <c r="N64" s="199">
        <v>0</v>
      </c>
      <c r="O64" s="199">
        <v>0</v>
      </c>
      <c r="P64" s="199">
        <v>0</v>
      </c>
      <c r="Q64" s="199">
        <v>0</v>
      </c>
    </row>
    <row r="65" spans="1:23" x14ac:dyDescent="0.2">
      <c r="B65" s="1" t="s">
        <v>30</v>
      </c>
      <c r="G65" s="26">
        <v>2019</v>
      </c>
      <c r="H65" s="35" t="s">
        <v>64</v>
      </c>
      <c r="M65" s="199">
        <v>0</v>
      </c>
      <c r="N65" s="199">
        <v>0</v>
      </c>
      <c r="O65" s="199">
        <v>0</v>
      </c>
      <c r="P65" s="199">
        <v>0</v>
      </c>
      <c r="Q65" s="199">
        <v>0</v>
      </c>
    </row>
    <row r="66" spans="1:23" x14ac:dyDescent="0.2">
      <c r="I66" s="26"/>
      <c r="M66" s="29"/>
      <c r="N66" s="29"/>
      <c r="O66" s="29"/>
      <c r="P66" s="29"/>
      <c r="Q66" s="29"/>
    </row>
    <row r="67" spans="1:23" x14ac:dyDescent="0.2">
      <c r="I67" s="26"/>
      <c r="M67" s="29"/>
      <c r="N67" s="29"/>
      <c r="O67" s="29"/>
      <c r="P67" s="29"/>
      <c r="Q67" s="29"/>
    </row>
    <row r="68" spans="1:23" x14ac:dyDescent="0.2">
      <c r="A68" s="2" t="s">
        <v>43</v>
      </c>
      <c r="B68" s="2"/>
      <c r="C68" s="2"/>
      <c r="D68" s="2"/>
      <c r="E68" s="2"/>
      <c r="F68" s="2"/>
      <c r="G68" s="44" t="s">
        <v>4</v>
      </c>
      <c r="H68" s="44"/>
      <c r="I68" s="2"/>
      <c r="J68" s="2"/>
      <c r="K68" s="6">
        <v>2019</v>
      </c>
      <c r="L68" s="6">
        <v>2020</v>
      </c>
      <c r="M68" s="6" t="s">
        <v>16</v>
      </c>
      <c r="N68" s="6" t="s">
        <v>17</v>
      </c>
      <c r="O68" s="6" t="s">
        <v>18</v>
      </c>
      <c r="P68" s="6" t="s">
        <v>19</v>
      </c>
      <c r="Q68" s="6" t="s">
        <v>20</v>
      </c>
      <c r="S68" s="6" t="s">
        <v>10</v>
      </c>
    </row>
    <row r="69" spans="1:23" x14ac:dyDescent="0.2">
      <c r="I69" s="26"/>
      <c r="M69" s="29"/>
      <c r="N69" s="29"/>
      <c r="O69" s="29"/>
      <c r="P69" s="29"/>
      <c r="Q69" s="29"/>
    </row>
    <row r="70" spans="1:23" x14ac:dyDescent="0.2">
      <c r="I70" s="26"/>
      <c r="M70" s="29"/>
      <c r="N70" s="29"/>
      <c r="O70" s="29"/>
      <c r="P70" s="29"/>
      <c r="Q70" s="29"/>
    </row>
    <row r="71" spans="1:23" x14ac:dyDescent="0.2">
      <c r="B71" s="55" t="s">
        <v>125</v>
      </c>
      <c r="C71" s="55"/>
      <c r="D71" s="55"/>
      <c r="E71" s="55"/>
      <c r="F71" s="55"/>
      <c r="G71" s="56" t="s">
        <v>124</v>
      </c>
      <c r="H71" s="57"/>
      <c r="I71" s="55"/>
      <c r="J71" s="55"/>
      <c r="K71" s="55"/>
      <c r="L71" s="58"/>
      <c r="M71" s="58">
        <f>(M63-M$61)*INDEX(Assumptions!$G$16:$M$16, MATCH($G63, Assumptions!$G$14:$M$14,0))</f>
        <v>827.56989638937728</v>
      </c>
      <c r="N71" s="58">
        <f>(N63-N$61)*INDEX(Assumptions!$G$16:$M$16, MATCH($G63, Assumptions!$G$14:$M$14,0))</f>
        <v>553.04952568025124</v>
      </c>
      <c r="O71" s="58">
        <f>(O63-O$61)*INDEX(Assumptions!$G$16:$M$16, MATCH($G63, Assumptions!$G$14:$M$14,0))</f>
        <v>558.069816106909</v>
      </c>
      <c r="P71" s="58">
        <f>(P63-P$61)*INDEX(Assumptions!$G$16:$M$16, MATCH($G63, Assumptions!$G$14:$M$14,0))</f>
        <v>564.18253288549727</v>
      </c>
      <c r="Q71" s="58">
        <f>(Q63-Q$61)*INDEX(Assumptions!$G$16:$M$16, MATCH($G63, Assumptions!$G$14:$M$14,0))</f>
        <v>564.18253288549727</v>
      </c>
      <c r="S71" s="58">
        <f>SUM(M71:Q71)</f>
        <v>3067.0543039475324</v>
      </c>
    </row>
    <row r="72" spans="1:23" x14ac:dyDescent="0.2">
      <c r="B72" s="55" t="s">
        <v>126</v>
      </c>
      <c r="C72" s="55"/>
      <c r="D72" s="55"/>
      <c r="E72" s="55"/>
      <c r="F72" s="55"/>
      <c r="G72" s="56" t="s">
        <v>124</v>
      </c>
      <c r="H72" s="57"/>
      <c r="I72" s="55"/>
      <c r="J72" s="55"/>
      <c r="K72" s="55"/>
      <c r="L72" s="58"/>
      <c r="M72" s="58">
        <f>M64*INDEX(Assumptions!$G$16:$M$16, MATCH($G64, Assumptions!$G$14:$M$14,0))</f>
        <v>0</v>
      </c>
      <c r="N72" s="58">
        <f>N64*INDEX(Assumptions!$G$16:$M$16, MATCH($G64, Assumptions!$G$14:$M$14,0))</f>
        <v>0</v>
      </c>
      <c r="O72" s="58">
        <f>O64*INDEX(Assumptions!$G$16:$M$16, MATCH($G64, Assumptions!$G$14:$M$14,0))</f>
        <v>0</v>
      </c>
      <c r="P72" s="58">
        <f>P64*INDEX(Assumptions!$G$16:$M$16, MATCH($G64, Assumptions!$G$14:$M$14,0))</f>
        <v>0</v>
      </c>
      <c r="Q72" s="58">
        <f>Q64*INDEX(Assumptions!$G$16:$M$16, MATCH($G64, Assumptions!$G$14:$M$14,0))</f>
        <v>0</v>
      </c>
      <c r="S72" s="58">
        <f>SUM(M72:Q72)</f>
        <v>0</v>
      </c>
    </row>
    <row r="73" spans="1:23" x14ac:dyDescent="0.2">
      <c r="B73" s="55" t="s">
        <v>127</v>
      </c>
      <c r="C73" s="55"/>
      <c r="D73" s="55"/>
      <c r="E73" s="55"/>
      <c r="F73" s="55"/>
      <c r="G73" s="56" t="s">
        <v>124</v>
      </c>
      <c r="H73" s="57"/>
      <c r="I73" s="55"/>
      <c r="J73" s="55"/>
      <c r="K73" s="55"/>
      <c r="L73" s="58"/>
      <c r="M73" s="58">
        <f>M65*INDEX(Assumptions!$G$16:$M$16, MATCH($G65, Assumptions!$G$14:$M$14,0))</f>
        <v>0</v>
      </c>
      <c r="N73" s="58">
        <f>N65*INDEX(Assumptions!$G$16:$M$16, MATCH($G65, Assumptions!$G$14:$M$14,0))</f>
        <v>0</v>
      </c>
      <c r="O73" s="58">
        <f>O65*INDEX(Assumptions!$G$16:$M$16, MATCH($G65, Assumptions!$G$14:$M$14,0))</f>
        <v>0</v>
      </c>
      <c r="P73" s="58">
        <f>P65*INDEX(Assumptions!$G$16:$M$16, MATCH($G65, Assumptions!$G$14:$M$14,0))</f>
        <v>0</v>
      </c>
      <c r="Q73" s="58">
        <f>Q65*INDEX(Assumptions!$G$16:$M$16, MATCH($G65, Assumptions!$G$14:$M$14,0))</f>
        <v>0</v>
      </c>
      <c r="S73" s="58">
        <f>SUM(M73:Q73)</f>
        <v>0</v>
      </c>
    </row>
    <row r="74" spans="1:23" x14ac:dyDescent="0.2">
      <c r="B74" s="55"/>
      <c r="C74" s="55"/>
      <c r="D74" s="55"/>
      <c r="E74" s="55"/>
      <c r="F74" s="55"/>
      <c r="G74" s="56"/>
      <c r="H74" s="57"/>
      <c r="I74" s="55"/>
      <c r="J74" s="55"/>
      <c r="K74" s="55"/>
      <c r="L74" s="58"/>
      <c r="M74" s="58"/>
      <c r="N74" s="58"/>
      <c r="O74" s="58"/>
      <c r="P74" s="58"/>
      <c r="Q74" s="58"/>
      <c r="S74" s="58"/>
    </row>
    <row r="75" spans="1:23" x14ac:dyDescent="0.2">
      <c r="B75" s="4" t="s">
        <v>45</v>
      </c>
      <c r="G75" s="52"/>
      <c r="H75" s="52"/>
      <c r="J75" s="33"/>
      <c r="K75" s="33"/>
      <c r="L75" s="33"/>
      <c r="M75" s="33"/>
      <c r="N75" s="33"/>
      <c r="O75" s="33"/>
      <c r="P75" s="33"/>
      <c r="Q75" s="33"/>
      <c r="R75" s="45"/>
      <c r="S75" s="33"/>
      <c r="T75" s="33"/>
      <c r="U75" s="33"/>
      <c r="V75" s="33"/>
      <c r="W75" s="33"/>
    </row>
    <row r="76" spans="1:23" x14ac:dyDescent="0.2">
      <c r="B76" s="101" t="str">
        <f>B71</f>
        <v>Step change for Lower Mornington</v>
      </c>
      <c r="G76" s="102" t="s">
        <v>124</v>
      </c>
      <c r="H76" s="52"/>
      <c r="J76" s="33"/>
      <c r="K76" s="33"/>
      <c r="L76" s="33"/>
      <c r="M76" s="110">
        <f>M71*Assumptions!N$30</f>
        <v>831.37273334415818</v>
      </c>
      <c r="N76" s="110">
        <f>N71*Assumptions!O$30</f>
        <v>557.22257719052061</v>
      </c>
      <c r="O76" s="110">
        <f>O71*Assumptions!P$30</f>
        <v>564.4485914277725</v>
      </c>
      <c r="P76" s="110">
        <f>P71*Assumptions!Q$30</f>
        <v>573.98723419791406</v>
      </c>
      <c r="Q76" s="110">
        <f>Q71*Assumptions!R$30</f>
        <v>578.43026898688129</v>
      </c>
      <c r="R76" s="45"/>
      <c r="S76" s="110">
        <f>SUM(M76:Q76)</f>
        <v>3105.4614051472468</v>
      </c>
      <c r="T76" s="33"/>
      <c r="U76" s="33"/>
      <c r="V76" s="33"/>
      <c r="W76" s="33"/>
    </row>
    <row r="77" spans="1:23" x14ac:dyDescent="0.2">
      <c r="B77" s="101" t="str">
        <f>B72</f>
        <v>Step change for HV feeder demand management</v>
      </c>
      <c r="G77" s="102" t="s">
        <v>124</v>
      </c>
      <c r="H77" s="52"/>
      <c r="J77" s="33"/>
      <c r="K77" s="33"/>
      <c r="L77" s="33"/>
      <c r="M77" s="110">
        <f>M72*Assumptions!N$30</f>
        <v>0</v>
      </c>
      <c r="N77" s="110">
        <f>N72*Assumptions!O$30</f>
        <v>0</v>
      </c>
      <c r="O77" s="110">
        <f>O72*Assumptions!P$30</f>
        <v>0</v>
      </c>
      <c r="P77" s="110">
        <f>P72*Assumptions!Q$30</f>
        <v>0</v>
      </c>
      <c r="Q77" s="110">
        <f>Q72*Assumptions!R$30</f>
        <v>0</v>
      </c>
      <c r="R77" s="45"/>
      <c r="S77" s="110">
        <f>SUM(M77:Q77)</f>
        <v>0</v>
      </c>
      <c r="T77" s="33"/>
      <c r="U77" s="33"/>
      <c r="V77" s="33"/>
      <c r="W77" s="33"/>
    </row>
    <row r="78" spans="1:23" x14ac:dyDescent="0.2">
      <c r="B78" s="101" t="str">
        <f>B73</f>
        <v>Step change for Cranbourne terminal station with AusNet</v>
      </c>
      <c r="G78" s="102" t="s">
        <v>124</v>
      </c>
      <c r="H78" s="52"/>
      <c r="J78" s="33"/>
      <c r="K78" s="33"/>
      <c r="L78" s="33"/>
      <c r="M78" s="110">
        <f>M73*Assumptions!N$30</f>
        <v>0</v>
      </c>
      <c r="N78" s="110">
        <f>N73*Assumptions!O$30</f>
        <v>0</v>
      </c>
      <c r="O78" s="110">
        <f>O73*Assumptions!P$30</f>
        <v>0</v>
      </c>
      <c r="P78" s="110">
        <f>P73*Assumptions!Q$30</f>
        <v>0</v>
      </c>
      <c r="Q78" s="110">
        <f>Q73*Assumptions!R$30</f>
        <v>0</v>
      </c>
      <c r="R78" s="45"/>
      <c r="S78" s="110">
        <f>SUM(M78:Q78)</f>
        <v>0</v>
      </c>
      <c r="T78" s="33"/>
      <c r="U78" s="33"/>
      <c r="V78" s="33"/>
      <c r="W78" s="33"/>
    </row>
    <row r="79" spans="1:23" ht="13.5" thickBot="1" x14ac:dyDescent="0.25">
      <c r="B79" s="103" t="str">
        <f ca="1">"Total"&amp;" "&amp;$A$2</f>
        <v>Total Demand management</v>
      </c>
      <c r="C79" s="104"/>
      <c r="D79" s="103"/>
      <c r="E79" s="103"/>
      <c r="F79" s="103"/>
      <c r="G79" s="105" t="s">
        <v>124</v>
      </c>
      <c r="H79" s="106"/>
      <c r="I79" s="103"/>
      <c r="J79" s="107"/>
      <c r="K79" s="107"/>
      <c r="L79" s="108"/>
      <c r="M79" s="108">
        <f>SUM(M76:M78)</f>
        <v>831.37273334415818</v>
      </c>
      <c r="N79" s="108">
        <f t="shared" ref="N79:Q79" si="5">SUM(N76:N78)</f>
        <v>557.22257719052061</v>
      </c>
      <c r="O79" s="108">
        <f t="shared" si="5"/>
        <v>564.4485914277725</v>
      </c>
      <c r="P79" s="108">
        <f t="shared" si="5"/>
        <v>573.98723419791406</v>
      </c>
      <c r="Q79" s="108">
        <f t="shared" si="5"/>
        <v>578.43026898688129</v>
      </c>
      <c r="R79" s="109"/>
      <c r="S79" s="108">
        <f>SUM(M79:Q79)</f>
        <v>3105.4614051472468</v>
      </c>
      <c r="T79" s="33"/>
      <c r="U79" s="33"/>
      <c r="V79" s="33"/>
      <c r="W79" s="33"/>
    </row>
    <row r="80" spans="1:23" ht="13.5" thickTop="1" x14ac:dyDescent="0.2">
      <c r="G80" s="52"/>
      <c r="K80" s="34"/>
      <c r="L80" s="34"/>
      <c r="M80" s="33"/>
      <c r="N80" s="33"/>
      <c r="O80" s="33"/>
      <c r="P80" s="33"/>
      <c r="Q80" s="31"/>
      <c r="R80" s="45"/>
      <c r="S80" s="33"/>
    </row>
    <row r="81" spans="11:17" x14ac:dyDescent="0.2">
      <c r="K81" s="8"/>
      <c r="L81" s="8"/>
      <c r="M81" s="8"/>
      <c r="N81" s="8"/>
      <c r="O81" s="8"/>
      <c r="P81" s="8"/>
      <c r="Q81" s="8"/>
    </row>
    <row r="82" spans="11:17" x14ac:dyDescent="0.2">
      <c r="K82" s="8"/>
      <c r="L82" s="8"/>
      <c r="M82" s="8"/>
      <c r="N82" s="8"/>
      <c r="O82" s="8"/>
      <c r="P82" s="8"/>
      <c r="Q82" s="8"/>
    </row>
    <row r="83" spans="11:17" x14ac:dyDescent="0.2">
      <c r="K83" s="8"/>
      <c r="L83" s="8"/>
      <c r="M83" s="8"/>
      <c r="N83" s="8"/>
      <c r="O83" s="8"/>
      <c r="P83" s="8"/>
      <c r="Q83" s="8"/>
    </row>
    <row r="84" spans="11:17" x14ac:dyDescent="0.2">
      <c r="K84" s="8"/>
      <c r="L84" s="8"/>
      <c r="M84" s="8"/>
      <c r="N84" s="8"/>
      <c r="O84" s="8"/>
      <c r="P84" s="8"/>
      <c r="Q84" s="8"/>
    </row>
    <row r="85" spans="11:17" x14ac:dyDescent="0.2">
      <c r="K85" s="8"/>
      <c r="L85" s="8"/>
      <c r="M85" s="8"/>
      <c r="N85" s="8"/>
      <c r="O85" s="8"/>
      <c r="P85" s="8"/>
      <c r="Q85" s="8"/>
    </row>
    <row r="86" spans="11:17" x14ac:dyDescent="0.2">
      <c r="K86" s="8"/>
      <c r="L86" s="8"/>
      <c r="M86" s="8"/>
      <c r="N86" s="8"/>
      <c r="O86" s="8"/>
      <c r="P86" s="8"/>
      <c r="Q86" s="8"/>
    </row>
    <row r="87" spans="11:17" x14ac:dyDescent="0.2">
      <c r="K87" s="8"/>
      <c r="L87" s="8"/>
      <c r="M87" s="8"/>
      <c r="N87" s="8"/>
      <c r="O87" s="8"/>
      <c r="P87" s="8"/>
      <c r="Q87" s="8"/>
    </row>
    <row r="88" spans="11:17" x14ac:dyDescent="0.2">
      <c r="K88" s="8"/>
      <c r="L88" s="8"/>
      <c r="M88" s="8"/>
      <c r="N88" s="8"/>
      <c r="O88" s="8"/>
      <c r="P88" s="8"/>
      <c r="Q88" s="8"/>
    </row>
    <row r="89" spans="11:17" x14ac:dyDescent="0.2">
      <c r="K89" s="8"/>
      <c r="L89" s="8"/>
      <c r="M89" s="8"/>
      <c r="N89" s="8"/>
      <c r="O89" s="8"/>
      <c r="P89" s="8"/>
      <c r="Q89" s="8"/>
    </row>
    <row r="90" spans="11:17" x14ac:dyDescent="0.2">
      <c r="K90" s="8"/>
      <c r="L90" s="8"/>
      <c r="M90" s="8"/>
      <c r="N90" s="8"/>
      <c r="O90" s="8"/>
      <c r="P90" s="8"/>
      <c r="Q90" s="8"/>
    </row>
    <row r="91" spans="11:17" x14ac:dyDescent="0.2">
      <c r="K91" s="8"/>
      <c r="L91" s="8"/>
      <c r="M91" s="8"/>
      <c r="N91" s="8"/>
      <c r="O91" s="8"/>
      <c r="P91" s="8"/>
      <c r="Q91" s="8"/>
    </row>
    <row r="92" spans="11:17" x14ac:dyDescent="0.2">
      <c r="K92" s="8"/>
      <c r="L92" s="8"/>
      <c r="M92" s="8"/>
      <c r="N92" s="8"/>
      <c r="O92" s="8"/>
      <c r="P92" s="8"/>
      <c r="Q92" s="8"/>
    </row>
    <row r="93" spans="11:17" x14ac:dyDescent="0.2">
      <c r="K93" s="8"/>
      <c r="L93" s="8"/>
      <c r="M93" s="8"/>
      <c r="N93" s="8"/>
      <c r="O93" s="8"/>
      <c r="P93" s="8"/>
      <c r="Q93" s="8"/>
    </row>
    <row r="94" spans="11:17" x14ac:dyDescent="0.2">
      <c r="K94" s="8"/>
      <c r="L94" s="8"/>
      <c r="M94" s="8"/>
      <c r="N94" s="8"/>
      <c r="O94" s="8"/>
      <c r="P94" s="8"/>
      <c r="Q94" s="8"/>
    </row>
    <row r="95" spans="11:17" x14ac:dyDescent="0.2">
      <c r="K95" s="8"/>
      <c r="L95" s="8"/>
      <c r="M95" s="8"/>
      <c r="N95" s="8"/>
      <c r="O95" s="8"/>
      <c r="P95" s="8"/>
      <c r="Q95" s="8"/>
    </row>
    <row r="96" spans="11:17" x14ac:dyDescent="0.2">
      <c r="K96" s="8"/>
      <c r="L96" s="8"/>
      <c r="M96" s="8"/>
      <c r="N96" s="8"/>
      <c r="O96" s="8"/>
      <c r="P96" s="8"/>
      <c r="Q96" s="8"/>
    </row>
    <row r="97" spans="11:17" x14ac:dyDescent="0.2">
      <c r="K97" s="8"/>
      <c r="L97" s="8"/>
      <c r="M97" s="8"/>
      <c r="N97" s="8"/>
      <c r="O97" s="8"/>
      <c r="P97" s="8"/>
      <c r="Q97" s="8"/>
    </row>
    <row r="98" spans="11:17" x14ac:dyDescent="0.2">
      <c r="K98" s="8"/>
      <c r="L98" s="8"/>
      <c r="M98" s="8"/>
      <c r="N98" s="8"/>
      <c r="O98" s="8"/>
      <c r="P98" s="8"/>
      <c r="Q98" s="8"/>
    </row>
    <row r="99" spans="11:17" x14ac:dyDescent="0.2">
      <c r="K99" s="8"/>
      <c r="L99" s="8"/>
      <c r="M99" s="8"/>
      <c r="N99" s="8"/>
      <c r="O99" s="8"/>
      <c r="P99" s="8"/>
      <c r="Q99" s="8"/>
    </row>
    <row r="100" spans="11:17" x14ac:dyDescent="0.2">
      <c r="K100" s="8"/>
      <c r="L100" s="8"/>
      <c r="M100" s="8"/>
      <c r="N100" s="8"/>
      <c r="O100" s="8"/>
      <c r="P100" s="8"/>
      <c r="Q100" s="8"/>
    </row>
    <row r="101" spans="11:17" x14ac:dyDescent="0.2">
      <c r="K101" s="8"/>
      <c r="L101" s="8"/>
      <c r="M101" s="8"/>
      <c r="N101" s="8"/>
      <c r="O101" s="8"/>
      <c r="P101" s="8"/>
      <c r="Q101" s="8"/>
    </row>
    <row r="102" spans="11:17" x14ac:dyDescent="0.2">
      <c r="K102" s="8"/>
      <c r="L102" s="8"/>
      <c r="M102" s="8"/>
      <c r="N102" s="8"/>
      <c r="O102" s="8"/>
      <c r="P102" s="8"/>
      <c r="Q102" s="8"/>
    </row>
    <row r="103" spans="11:17" x14ac:dyDescent="0.2">
      <c r="K103" s="8"/>
      <c r="L103" s="8"/>
      <c r="M103" s="8"/>
      <c r="N103" s="8"/>
      <c r="O103" s="8"/>
      <c r="P103" s="8"/>
      <c r="Q103" s="8"/>
    </row>
    <row r="104" spans="11:17" x14ac:dyDescent="0.2">
      <c r="K104" s="8"/>
      <c r="L104" s="8"/>
      <c r="M104" s="8"/>
      <c r="N104" s="8"/>
      <c r="O104" s="8"/>
      <c r="P104" s="8"/>
      <c r="Q104" s="8"/>
    </row>
    <row r="105" spans="11:17" x14ac:dyDescent="0.2">
      <c r="K105" s="8"/>
      <c r="L105" s="8"/>
      <c r="M105" s="8"/>
      <c r="N105" s="8"/>
      <c r="O105" s="8"/>
      <c r="P105" s="8"/>
      <c r="Q105" s="8"/>
    </row>
    <row r="106" spans="11:17" x14ac:dyDescent="0.2">
      <c r="K106" s="8"/>
      <c r="L106" s="8"/>
      <c r="M106" s="8"/>
      <c r="N106" s="8"/>
      <c r="O106" s="8"/>
      <c r="P106" s="8"/>
      <c r="Q106" s="8"/>
    </row>
    <row r="107" spans="11:17" x14ac:dyDescent="0.2">
      <c r="K107" s="8"/>
      <c r="L107" s="8"/>
      <c r="M107" s="8"/>
      <c r="N107" s="8"/>
      <c r="O107" s="8"/>
      <c r="P107" s="8"/>
      <c r="Q107" s="8"/>
    </row>
    <row r="108" spans="11:17" x14ac:dyDescent="0.2">
      <c r="K108" s="8"/>
      <c r="L108" s="8"/>
      <c r="M108" s="8"/>
      <c r="N108" s="8"/>
      <c r="O108" s="8"/>
      <c r="P108" s="8"/>
      <c r="Q108" s="8"/>
    </row>
    <row r="109" spans="11:17" x14ac:dyDescent="0.2">
      <c r="K109" s="8"/>
      <c r="L109" s="8"/>
      <c r="M109" s="8"/>
      <c r="N109" s="8"/>
      <c r="O109" s="8"/>
      <c r="P109" s="8"/>
      <c r="Q109" s="8"/>
    </row>
    <row r="110" spans="11:17" x14ac:dyDescent="0.2">
      <c r="K110" s="8"/>
      <c r="L110" s="8"/>
      <c r="M110" s="8"/>
      <c r="N110" s="8"/>
      <c r="O110" s="8"/>
      <c r="P110" s="8"/>
      <c r="Q110" s="8"/>
    </row>
    <row r="111" spans="11:17" x14ac:dyDescent="0.2">
      <c r="K111" s="8"/>
      <c r="L111" s="8"/>
      <c r="M111" s="8"/>
      <c r="N111" s="8"/>
      <c r="O111" s="8"/>
      <c r="P111" s="8"/>
      <c r="Q111" s="8"/>
    </row>
    <row r="112" spans="11:17" x14ac:dyDescent="0.2">
      <c r="K112" s="8"/>
      <c r="L112" s="8"/>
      <c r="M112" s="8"/>
      <c r="N112" s="8"/>
      <c r="O112" s="8"/>
      <c r="P112" s="8"/>
      <c r="Q112" s="8"/>
    </row>
    <row r="113" spans="11:17" x14ac:dyDescent="0.2">
      <c r="K113" s="8"/>
      <c r="L113" s="8"/>
      <c r="M113" s="8"/>
      <c r="N113" s="8"/>
      <c r="O113" s="8"/>
      <c r="P113" s="8"/>
      <c r="Q113" s="8"/>
    </row>
    <row r="114" spans="11:17" x14ac:dyDescent="0.2">
      <c r="K114" s="8"/>
      <c r="L114" s="8"/>
      <c r="M114" s="8"/>
      <c r="N114" s="8"/>
      <c r="O114" s="8"/>
      <c r="P114" s="8"/>
      <c r="Q114" s="8"/>
    </row>
    <row r="115" spans="11:17" x14ac:dyDescent="0.2">
      <c r="K115" s="8"/>
      <c r="L115" s="8"/>
      <c r="M115" s="8"/>
      <c r="N115" s="8"/>
      <c r="O115" s="8"/>
      <c r="P115" s="8"/>
      <c r="Q115" s="8"/>
    </row>
    <row r="116" spans="11:17" x14ac:dyDescent="0.2">
      <c r="K116" s="8"/>
      <c r="L116" s="8"/>
      <c r="M116" s="8"/>
      <c r="N116" s="8"/>
      <c r="O116" s="8"/>
      <c r="P116" s="8"/>
      <c r="Q116" s="8"/>
    </row>
    <row r="117" spans="11:17" x14ac:dyDescent="0.2">
      <c r="K117" s="8"/>
      <c r="L117" s="8"/>
      <c r="M117" s="8"/>
      <c r="N117" s="8"/>
      <c r="O117" s="8"/>
      <c r="P117" s="8"/>
      <c r="Q117" s="8"/>
    </row>
    <row r="118" spans="11:17" x14ac:dyDescent="0.2">
      <c r="K118" s="8"/>
      <c r="L118" s="8"/>
      <c r="M118" s="8"/>
      <c r="N118" s="8"/>
      <c r="O118" s="8"/>
      <c r="P118" s="8"/>
      <c r="Q118" s="8"/>
    </row>
    <row r="119" spans="11:17" x14ac:dyDescent="0.2">
      <c r="K119" s="8"/>
      <c r="L119" s="8"/>
      <c r="M119" s="8"/>
      <c r="N119" s="8"/>
      <c r="O119" s="8"/>
      <c r="P119" s="8"/>
      <c r="Q119" s="8"/>
    </row>
    <row r="120" spans="11:17" x14ac:dyDescent="0.2">
      <c r="K120" s="8"/>
      <c r="L120" s="8"/>
      <c r="M120" s="8"/>
      <c r="N120" s="8"/>
      <c r="O120" s="8"/>
      <c r="P120" s="8"/>
      <c r="Q120" s="8"/>
    </row>
    <row r="121" spans="11:17" x14ac:dyDescent="0.2">
      <c r="K121" s="8"/>
      <c r="L121" s="8"/>
      <c r="M121" s="8"/>
      <c r="N121" s="8"/>
      <c r="O121" s="8"/>
      <c r="P121" s="8"/>
      <c r="Q121" s="8"/>
    </row>
    <row r="122" spans="11:17" x14ac:dyDescent="0.2">
      <c r="K122" s="8"/>
      <c r="L122" s="8"/>
      <c r="M122" s="8"/>
      <c r="N122" s="8"/>
      <c r="O122" s="8"/>
      <c r="P122" s="8"/>
      <c r="Q122" s="8"/>
    </row>
    <row r="123" spans="11:17" x14ac:dyDescent="0.2">
      <c r="K123" s="8"/>
      <c r="L123" s="8"/>
      <c r="M123" s="8"/>
      <c r="N123" s="8"/>
      <c r="O123" s="8"/>
      <c r="P123" s="8"/>
      <c r="Q123" s="8"/>
    </row>
    <row r="124" spans="11:17" x14ac:dyDescent="0.2">
      <c r="K124" s="8"/>
      <c r="L124" s="8"/>
      <c r="M124" s="8"/>
      <c r="N124" s="8"/>
      <c r="O124" s="8"/>
      <c r="P124" s="8"/>
      <c r="Q124" s="8"/>
    </row>
    <row r="125" spans="11:17" x14ac:dyDescent="0.2">
      <c r="K125" s="8"/>
      <c r="L125" s="8"/>
      <c r="M125" s="8"/>
      <c r="N125" s="8"/>
      <c r="O125" s="8"/>
      <c r="P125" s="8"/>
      <c r="Q125" s="8"/>
    </row>
    <row r="126" spans="11:17" x14ac:dyDescent="0.2">
      <c r="K126" s="8"/>
      <c r="L126" s="8"/>
      <c r="M126" s="8"/>
      <c r="N126" s="8"/>
      <c r="O126" s="8"/>
      <c r="P126" s="8"/>
      <c r="Q126" s="8"/>
    </row>
    <row r="127" spans="11:17" x14ac:dyDescent="0.2">
      <c r="K127" s="8"/>
      <c r="L127" s="8"/>
      <c r="M127" s="8"/>
      <c r="N127" s="8"/>
      <c r="O127" s="8"/>
      <c r="P127" s="8"/>
      <c r="Q127" s="8"/>
    </row>
    <row r="128" spans="11:17" x14ac:dyDescent="0.2">
      <c r="K128" s="8"/>
      <c r="L128" s="8"/>
      <c r="M128" s="8"/>
      <c r="N128" s="8"/>
      <c r="O128" s="8"/>
      <c r="P128" s="8"/>
      <c r="Q128" s="8"/>
    </row>
    <row r="129" spans="11:17" x14ac:dyDescent="0.2">
      <c r="K129" s="8"/>
      <c r="L129" s="8"/>
      <c r="M129" s="8"/>
      <c r="N129" s="8"/>
      <c r="O129" s="8"/>
      <c r="P129" s="8"/>
      <c r="Q129" s="8"/>
    </row>
    <row r="130" spans="11:17" x14ac:dyDescent="0.2">
      <c r="K130" s="8"/>
      <c r="L130" s="8"/>
      <c r="M130" s="8"/>
      <c r="N130" s="8"/>
      <c r="O130" s="8"/>
      <c r="P130" s="8"/>
      <c r="Q130" s="8"/>
    </row>
    <row r="131" spans="11:17" x14ac:dyDescent="0.2">
      <c r="K131" s="8"/>
      <c r="L131" s="8"/>
      <c r="M131" s="8"/>
      <c r="N131" s="8"/>
      <c r="O131" s="8"/>
      <c r="P131" s="8"/>
      <c r="Q131" s="8"/>
    </row>
    <row r="132" spans="11:17" x14ac:dyDescent="0.2">
      <c r="K132" s="8"/>
      <c r="L132" s="8"/>
      <c r="M132" s="8"/>
      <c r="N132" s="8"/>
      <c r="O132" s="8"/>
      <c r="P132" s="8"/>
      <c r="Q132" s="8"/>
    </row>
    <row r="133" spans="11:17" x14ac:dyDescent="0.2">
      <c r="K133" s="8"/>
      <c r="L133" s="8"/>
      <c r="M133" s="8"/>
      <c r="N133" s="8"/>
      <c r="O133" s="8"/>
      <c r="P133" s="8"/>
      <c r="Q133" s="8"/>
    </row>
    <row r="134" spans="11:17" x14ac:dyDescent="0.2">
      <c r="K134" s="8"/>
      <c r="L134" s="8"/>
      <c r="M134" s="8"/>
      <c r="N134" s="8"/>
      <c r="O134" s="8"/>
      <c r="P134" s="8"/>
      <c r="Q134" s="8"/>
    </row>
    <row r="135" spans="11:17" x14ac:dyDescent="0.2">
      <c r="K135" s="8"/>
      <c r="L135" s="8"/>
      <c r="M135" s="8"/>
      <c r="N135" s="8"/>
      <c r="O135" s="8"/>
      <c r="P135" s="8"/>
      <c r="Q135" s="8"/>
    </row>
    <row r="136" spans="11:17" x14ac:dyDescent="0.2">
      <c r="K136" s="8"/>
      <c r="L136" s="8"/>
      <c r="M136" s="8"/>
      <c r="N136" s="8"/>
      <c r="O136" s="8"/>
      <c r="P136" s="8"/>
      <c r="Q136" s="8"/>
    </row>
    <row r="137" spans="11:17" x14ac:dyDescent="0.2">
      <c r="K137" s="8"/>
      <c r="L137" s="8"/>
      <c r="M137" s="8"/>
      <c r="N137" s="8"/>
      <c r="O137" s="8"/>
      <c r="P137" s="8"/>
      <c r="Q137" s="8"/>
    </row>
    <row r="138" spans="11:17" x14ac:dyDescent="0.2">
      <c r="K138" s="8"/>
      <c r="L138" s="8"/>
      <c r="M138" s="8"/>
      <c r="N138" s="8"/>
      <c r="O138" s="8"/>
      <c r="P138" s="8"/>
      <c r="Q138" s="8"/>
    </row>
    <row r="139" spans="11:17" x14ac:dyDescent="0.2">
      <c r="K139" s="8"/>
      <c r="L139" s="8"/>
      <c r="M139" s="8"/>
      <c r="N139" s="8"/>
      <c r="O139" s="8"/>
      <c r="P139" s="8"/>
      <c r="Q139" s="8"/>
    </row>
    <row r="140" spans="11:17" x14ac:dyDescent="0.2">
      <c r="K140" s="8"/>
      <c r="L140" s="8"/>
      <c r="M140" s="8"/>
      <c r="N140" s="8"/>
      <c r="O140" s="8"/>
      <c r="P140" s="8"/>
      <c r="Q140" s="8"/>
    </row>
    <row r="141" spans="11:17" x14ac:dyDescent="0.2">
      <c r="K141" s="8"/>
      <c r="L141" s="8"/>
      <c r="M141" s="8"/>
      <c r="N141" s="8"/>
      <c r="O141" s="8"/>
      <c r="P141" s="8"/>
      <c r="Q141" s="8"/>
    </row>
    <row r="142" spans="11:17" x14ac:dyDescent="0.2">
      <c r="K142" s="8"/>
      <c r="L142" s="8"/>
      <c r="M142" s="8"/>
      <c r="N142" s="8"/>
      <c r="O142" s="8"/>
      <c r="P142" s="8"/>
      <c r="Q142" s="8"/>
    </row>
    <row r="143" spans="11:17" x14ac:dyDescent="0.2">
      <c r="K143" s="8"/>
      <c r="L143" s="8"/>
      <c r="M143" s="8"/>
      <c r="N143" s="8"/>
      <c r="O143" s="8"/>
      <c r="P143" s="8"/>
      <c r="Q143" s="8"/>
    </row>
    <row r="144" spans="11:17" x14ac:dyDescent="0.2">
      <c r="K144" s="8"/>
      <c r="L144" s="8"/>
      <c r="M144" s="8"/>
      <c r="N144" s="8"/>
      <c r="O144" s="8"/>
      <c r="P144" s="8"/>
      <c r="Q144" s="8"/>
    </row>
    <row r="145" spans="11:17" x14ac:dyDescent="0.2">
      <c r="K145" s="8"/>
      <c r="L145" s="8"/>
      <c r="M145" s="8"/>
      <c r="N145" s="8"/>
      <c r="O145" s="8"/>
      <c r="P145" s="8"/>
      <c r="Q145" s="8"/>
    </row>
    <row r="146" spans="11:17" x14ac:dyDescent="0.2">
      <c r="K146" s="8"/>
      <c r="L146" s="8"/>
      <c r="M146" s="8"/>
      <c r="N146" s="8"/>
      <c r="O146" s="8"/>
      <c r="P146" s="8"/>
      <c r="Q146" s="8"/>
    </row>
    <row r="147" spans="11:17" x14ac:dyDescent="0.2">
      <c r="K147" s="8"/>
      <c r="L147" s="8"/>
      <c r="M147" s="8"/>
      <c r="N147" s="8"/>
      <c r="O147" s="8"/>
      <c r="P147" s="8"/>
      <c r="Q147" s="8"/>
    </row>
    <row r="148" spans="11:17" x14ac:dyDescent="0.2">
      <c r="K148" s="8"/>
      <c r="L148" s="8"/>
      <c r="M148" s="8"/>
      <c r="N148" s="8"/>
      <c r="O148" s="8"/>
      <c r="P148" s="8"/>
      <c r="Q148" s="8"/>
    </row>
    <row r="149" spans="11:17" x14ac:dyDescent="0.2">
      <c r="K149" s="8"/>
      <c r="L149" s="8"/>
      <c r="M149" s="8"/>
      <c r="N149" s="8"/>
      <c r="O149" s="8"/>
      <c r="P149" s="8"/>
      <c r="Q149" s="8"/>
    </row>
    <row r="150" spans="11:17" x14ac:dyDescent="0.2">
      <c r="K150" s="8"/>
      <c r="L150" s="8"/>
      <c r="M150" s="8"/>
      <c r="N150" s="8"/>
      <c r="O150" s="8"/>
      <c r="P150" s="8"/>
      <c r="Q150" s="8"/>
    </row>
    <row r="151" spans="11:17" x14ac:dyDescent="0.2">
      <c r="K151" s="8"/>
      <c r="L151" s="8"/>
      <c r="M151" s="8"/>
      <c r="N151" s="8"/>
      <c r="O151" s="8"/>
      <c r="P151" s="8"/>
      <c r="Q151" s="8"/>
    </row>
    <row r="152" spans="11:17" x14ac:dyDescent="0.2">
      <c r="K152" s="8"/>
      <c r="L152" s="8"/>
      <c r="M152" s="8"/>
      <c r="N152" s="8"/>
      <c r="O152" s="8"/>
      <c r="P152" s="8"/>
      <c r="Q152" s="8"/>
    </row>
    <row r="153" spans="11:17" x14ac:dyDescent="0.2">
      <c r="K153" s="8"/>
      <c r="L153" s="8"/>
      <c r="M153" s="8"/>
      <c r="N153" s="8"/>
      <c r="O153" s="8"/>
      <c r="P153" s="8"/>
      <c r="Q153" s="8"/>
    </row>
    <row r="154" spans="11:17" x14ac:dyDescent="0.2">
      <c r="K154" s="8"/>
      <c r="L154" s="8"/>
      <c r="M154" s="8"/>
      <c r="N154" s="8"/>
      <c r="O154" s="8"/>
      <c r="P154" s="8"/>
      <c r="Q154" s="8"/>
    </row>
    <row r="155" spans="11:17" x14ac:dyDescent="0.2">
      <c r="K155" s="8"/>
      <c r="L155" s="8"/>
      <c r="M155" s="8"/>
      <c r="N155" s="8"/>
      <c r="O155" s="8"/>
      <c r="P155" s="8"/>
      <c r="Q155" s="8"/>
    </row>
    <row r="156" spans="11:17" x14ac:dyDescent="0.2">
      <c r="K156" s="8"/>
      <c r="L156" s="8"/>
      <c r="M156" s="8"/>
      <c r="N156" s="8"/>
      <c r="O156" s="8"/>
      <c r="P156" s="8"/>
      <c r="Q156" s="8"/>
    </row>
    <row r="157" spans="11:17" x14ac:dyDescent="0.2">
      <c r="K157" s="8"/>
      <c r="L157" s="8"/>
      <c r="M157" s="8"/>
      <c r="N157" s="8"/>
      <c r="O157" s="8"/>
      <c r="P157" s="8"/>
      <c r="Q157" s="8"/>
    </row>
    <row r="158" spans="11:17" x14ac:dyDescent="0.2">
      <c r="K158" s="8"/>
      <c r="L158" s="8"/>
      <c r="M158" s="8"/>
      <c r="N158" s="8"/>
      <c r="O158" s="8"/>
      <c r="P158" s="8"/>
      <c r="Q158" s="8"/>
    </row>
    <row r="159" spans="11:17" x14ac:dyDescent="0.2">
      <c r="K159" s="8"/>
      <c r="L159" s="8"/>
      <c r="M159" s="8"/>
      <c r="N159" s="8"/>
      <c r="O159" s="8"/>
      <c r="P159" s="8"/>
      <c r="Q159" s="8"/>
    </row>
    <row r="160" spans="11:17" x14ac:dyDescent="0.2">
      <c r="K160" s="8"/>
      <c r="L160" s="8"/>
      <c r="M160" s="8"/>
      <c r="N160" s="8"/>
      <c r="O160" s="8"/>
      <c r="P160" s="8"/>
      <c r="Q160" s="8"/>
    </row>
    <row r="161" spans="11:17" x14ac:dyDescent="0.2">
      <c r="K161" s="8"/>
      <c r="L161" s="8"/>
      <c r="M161" s="8"/>
      <c r="N161" s="8"/>
      <c r="O161" s="8"/>
      <c r="P161" s="8"/>
      <c r="Q161" s="8"/>
    </row>
    <row r="162" spans="11:17" x14ac:dyDescent="0.2">
      <c r="K162" s="8"/>
      <c r="L162" s="8"/>
      <c r="M162" s="8"/>
      <c r="N162" s="8"/>
      <c r="O162" s="8"/>
      <c r="P162" s="8"/>
      <c r="Q162" s="8"/>
    </row>
    <row r="163" spans="11:17" x14ac:dyDescent="0.2">
      <c r="K163" s="8"/>
      <c r="L163" s="8"/>
      <c r="M163" s="8"/>
      <c r="N163" s="8"/>
      <c r="O163" s="8"/>
      <c r="P163" s="8"/>
      <c r="Q163" s="8"/>
    </row>
    <row r="164" spans="11:17" x14ac:dyDescent="0.2">
      <c r="K164" s="8"/>
      <c r="L164" s="8"/>
      <c r="M164" s="8"/>
      <c r="N164" s="8"/>
      <c r="O164" s="8"/>
      <c r="P164" s="8"/>
      <c r="Q164" s="8"/>
    </row>
    <row r="165" spans="11:17" x14ac:dyDescent="0.2">
      <c r="K165" s="8"/>
      <c r="L165" s="8"/>
      <c r="M165" s="8"/>
      <c r="N165" s="8"/>
      <c r="O165" s="8"/>
      <c r="P165" s="8"/>
      <c r="Q165" s="8"/>
    </row>
    <row r="166" spans="11:17" x14ac:dyDescent="0.2">
      <c r="K166" s="8"/>
      <c r="L166" s="8"/>
      <c r="M166" s="8"/>
      <c r="N166" s="8"/>
      <c r="O166" s="8"/>
      <c r="P166" s="8"/>
      <c r="Q166" s="8"/>
    </row>
    <row r="167" spans="11:17" x14ac:dyDescent="0.2">
      <c r="K167" s="8"/>
      <c r="L167" s="8"/>
      <c r="M167" s="8"/>
      <c r="N167" s="8"/>
      <c r="O167" s="8"/>
      <c r="P167" s="8"/>
      <c r="Q167" s="8"/>
    </row>
    <row r="168" spans="11:17" x14ac:dyDescent="0.2">
      <c r="K168" s="8"/>
      <c r="L168" s="8"/>
      <c r="M168" s="8"/>
      <c r="N168" s="8"/>
      <c r="O168" s="8"/>
      <c r="P168" s="8"/>
      <c r="Q168" s="8"/>
    </row>
    <row r="169" spans="11:17" x14ac:dyDescent="0.2">
      <c r="K169" s="8"/>
      <c r="L169" s="8"/>
      <c r="M169" s="8"/>
      <c r="N169" s="8"/>
      <c r="O169" s="8"/>
      <c r="P169" s="8"/>
      <c r="Q169" s="8"/>
    </row>
    <row r="170" spans="11:17" x14ac:dyDescent="0.2">
      <c r="K170" s="8"/>
      <c r="L170" s="8"/>
      <c r="M170" s="8"/>
      <c r="N170" s="8"/>
      <c r="O170" s="8"/>
      <c r="P170" s="8"/>
      <c r="Q170" s="8"/>
    </row>
    <row r="171" spans="11:17" x14ac:dyDescent="0.2">
      <c r="K171" s="8"/>
      <c r="L171" s="8"/>
      <c r="M171" s="8"/>
      <c r="N171" s="8"/>
      <c r="O171" s="8"/>
      <c r="P171" s="8"/>
      <c r="Q171" s="8"/>
    </row>
    <row r="172" spans="11:17" x14ac:dyDescent="0.2">
      <c r="K172" s="8"/>
      <c r="L172" s="8"/>
      <c r="M172" s="8"/>
      <c r="N172" s="8"/>
      <c r="O172" s="8"/>
      <c r="P172" s="8"/>
      <c r="Q172" s="8"/>
    </row>
    <row r="173" spans="11:17" x14ac:dyDescent="0.2">
      <c r="K173" s="8"/>
      <c r="L173" s="8"/>
      <c r="M173" s="8"/>
      <c r="N173" s="8"/>
      <c r="O173" s="8"/>
      <c r="P173" s="8"/>
      <c r="Q173" s="8"/>
    </row>
    <row r="174" spans="11:17" x14ac:dyDescent="0.2">
      <c r="K174" s="8"/>
      <c r="L174" s="8"/>
      <c r="M174" s="8"/>
      <c r="N174" s="8"/>
      <c r="O174" s="8"/>
      <c r="P174" s="8"/>
      <c r="Q174" s="8"/>
    </row>
    <row r="175" spans="11:17" x14ac:dyDescent="0.2">
      <c r="K175" s="8"/>
      <c r="L175" s="8"/>
      <c r="M175" s="8"/>
      <c r="N175" s="8"/>
      <c r="O175" s="8"/>
      <c r="P175" s="8"/>
      <c r="Q175" s="8"/>
    </row>
    <row r="176" spans="11:17" x14ac:dyDescent="0.2">
      <c r="K176" s="8"/>
      <c r="L176" s="8"/>
      <c r="M176" s="8"/>
      <c r="N176" s="8"/>
      <c r="O176" s="8"/>
      <c r="P176" s="8"/>
      <c r="Q176" s="8"/>
    </row>
    <row r="177" spans="11:17" x14ac:dyDescent="0.2">
      <c r="K177" s="8"/>
      <c r="L177" s="8"/>
      <c r="M177" s="8"/>
      <c r="N177" s="8"/>
      <c r="O177" s="8"/>
      <c r="P177" s="8"/>
      <c r="Q177" s="8"/>
    </row>
    <row r="178" spans="11:17" x14ac:dyDescent="0.2">
      <c r="K178" s="8"/>
      <c r="L178" s="8"/>
      <c r="M178" s="8"/>
      <c r="N178" s="8"/>
      <c r="O178" s="8"/>
      <c r="P178" s="8"/>
      <c r="Q178" s="8"/>
    </row>
    <row r="179" spans="11:17" x14ac:dyDescent="0.2">
      <c r="K179" s="8"/>
      <c r="L179" s="8"/>
      <c r="M179" s="8"/>
      <c r="N179" s="8"/>
      <c r="O179" s="8"/>
      <c r="P179" s="8"/>
      <c r="Q179" s="8"/>
    </row>
    <row r="180" spans="11:17" x14ac:dyDescent="0.2">
      <c r="K180" s="8"/>
      <c r="L180" s="8"/>
      <c r="M180" s="8"/>
      <c r="N180" s="8"/>
      <c r="O180" s="8"/>
      <c r="P180" s="8"/>
      <c r="Q180" s="8"/>
    </row>
    <row r="181" spans="11:17" x14ac:dyDescent="0.2">
      <c r="K181" s="8"/>
      <c r="L181" s="8"/>
      <c r="M181" s="8"/>
      <c r="N181" s="8"/>
      <c r="O181" s="8"/>
      <c r="P181" s="8"/>
      <c r="Q181" s="8"/>
    </row>
    <row r="182" spans="11:17" x14ac:dyDescent="0.2">
      <c r="K182" s="8"/>
      <c r="L182" s="8"/>
      <c r="M182" s="8"/>
      <c r="N182" s="8"/>
      <c r="O182" s="8"/>
      <c r="P182" s="8"/>
      <c r="Q182" s="8"/>
    </row>
    <row r="183" spans="11:17" x14ac:dyDescent="0.2">
      <c r="K183" s="8"/>
      <c r="L183" s="8"/>
      <c r="M183" s="8"/>
      <c r="N183" s="8"/>
      <c r="O183" s="8"/>
      <c r="P183" s="8"/>
      <c r="Q183" s="8"/>
    </row>
    <row r="184" spans="11:17" x14ac:dyDescent="0.2">
      <c r="K184" s="8"/>
      <c r="L184" s="8"/>
      <c r="M184" s="8"/>
      <c r="N184" s="8"/>
      <c r="O184" s="8"/>
      <c r="P184" s="8"/>
      <c r="Q184" s="8"/>
    </row>
    <row r="185" spans="11:17" x14ac:dyDescent="0.2">
      <c r="K185" s="8"/>
      <c r="L185" s="8"/>
      <c r="M185" s="8"/>
      <c r="N185" s="8"/>
      <c r="O185" s="8"/>
      <c r="P185" s="8"/>
      <c r="Q185" s="8"/>
    </row>
    <row r="186" spans="11:17" x14ac:dyDescent="0.2">
      <c r="K186" s="8"/>
      <c r="L186" s="8"/>
      <c r="M186" s="8"/>
      <c r="N186" s="8"/>
      <c r="O186" s="8"/>
      <c r="P186" s="8"/>
      <c r="Q186" s="8"/>
    </row>
    <row r="187" spans="11:17" x14ac:dyDescent="0.2">
      <c r="K187" s="8"/>
      <c r="L187" s="8"/>
      <c r="M187" s="8"/>
      <c r="N187" s="8"/>
      <c r="O187" s="8"/>
      <c r="P187" s="8"/>
      <c r="Q187" s="8"/>
    </row>
    <row r="188" spans="11:17" x14ac:dyDescent="0.2">
      <c r="K188" s="8"/>
      <c r="L188" s="8"/>
      <c r="M188" s="8"/>
      <c r="N188" s="8"/>
      <c r="O188" s="8"/>
      <c r="P188" s="8"/>
      <c r="Q188" s="8"/>
    </row>
    <row r="189" spans="11:17" x14ac:dyDescent="0.2">
      <c r="K189" s="8"/>
      <c r="L189" s="8"/>
      <c r="M189" s="8"/>
      <c r="N189" s="8"/>
      <c r="O189" s="8"/>
      <c r="P189" s="8"/>
      <c r="Q189" s="8"/>
    </row>
    <row r="190" spans="11:17" x14ac:dyDescent="0.2">
      <c r="K190" s="8"/>
      <c r="L190" s="8"/>
      <c r="M190" s="8"/>
      <c r="N190" s="8"/>
      <c r="O190" s="8"/>
      <c r="P190" s="8"/>
      <c r="Q190" s="8"/>
    </row>
    <row r="191" spans="11:17" x14ac:dyDescent="0.2">
      <c r="K191" s="8"/>
      <c r="L191" s="8"/>
      <c r="M191" s="8"/>
      <c r="N191" s="8"/>
      <c r="O191" s="8"/>
      <c r="P191" s="8"/>
      <c r="Q191" s="8"/>
    </row>
    <row r="192" spans="11:17" x14ac:dyDescent="0.2">
      <c r="K192" s="8"/>
      <c r="L192" s="8"/>
      <c r="M192" s="8"/>
      <c r="N192" s="8"/>
      <c r="O192" s="8"/>
      <c r="P192" s="8"/>
      <c r="Q192" s="8"/>
    </row>
    <row r="193" spans="11:17" x14ac:dyDescent="0.2">
      <c r="K193" s="8"/>
      <c r="L193" s="8"/>
      <c r="M193" s="8"/>
      <c r="N193" s="8"/>
      <c r="O193" s="8"/>
      <c r="P193" s="8"/>
      <c r="Q193" s="8"/>
    </row>
    <row r="194" spans="11:17" x14ac:dyDescent="0.2">
      <c r="K194" s="8"/>
      <c r="L194" s="8"/>
      <c r="M194" s="8"/>
      <c r="N194" s="8"/>
      <c r="O194" s="8"/>
      <c r="P194" s="8"/>
      <c r="Q194" s="8"/>
    </row>
    <row r="195" spans="11:17" x14ac:dyDescent="0.2">
      <c r="K195" s="8"/>
      <c r="L195" s="8"/>
      <c r="M195" s="8"/>
      <c r="N195" s="8"/>
      <c r="O195" s="8"/>
      <c r="P195" s="8"/>
      <c r="Q195" s="8"/>
    </row>
    <row r="196" spans="11:17" x14ac:dyDescent="0.2">
      <c r="K196" s="8"/>
      <c r="L196" s="8"/>
      <c r="M196" s="8"/>
      <c r="N196" s="8"/>
      <c r="O196" s="8"/>
      <c r="P196" s="8"/>
      <c r="Q196" s="8"/>
    </row>
    <row r="197" spans="11:17" x14ac:dyDescent="0.2">
      <c r="K197" s="8"/>
      <c r="L197" s="8"/>
      <c r="M197" s="8"/>
      <c r="N197" s="8"/>
      <c r="O197" s="8"/>
      <c r="P197" s="8"/>
      <c r="Q197" s="8"/>
    </row>
    <row r="198" spans="11:17" x14ac:dyDescent="0.2">
      <c r="K198" s="8"/>
      <c r="L198" s="8"/>
      <c r="M198" s="8"/>
      <c r="N198" s="8"/>
      <c r="O198" s="8"/>
      <c r="P198" s="8"/>
      <c r="Q198" s="8"/>
    </row>
    <row r="199" spans="11:17" x14ac:dyDescent="0.2">
      <c r="K199" s="8"/>
      <c r="L199" s="8"/>
      <c r="M199" s="8"/>
      <c r="N199" s="8"/>
      <c r="O199" s="8"/>
      <c r="P199" s="8"/>
      <c r="Q199" s="8"/>
    </row>
    <row r="200" spans="11:17" x14ac:dyDescent="0.2">
      <c r="K200" s="8"/>
      <c r="L200" s="8"/>
      <c r="M200" s="8"/>
      <c r="N200" s="8"/>
      <c r="O200" s="8"/>
      <c r="P200" s="8"/>
      <c r="Q200" s="8"/>
    </row>
    <row r="201" spans="11:17" x14ac:dyDescent="0.2">
      <c r="K201" s="8"/>
      <c r="L201" s="8"/>
      <c r="M201" s="8"/>
      <c r="N201" s="8"/>
      <c r="O201" s="8"/>
      <c r="P201" s="8"/>
      <c r="Q201" s="8"/>
    </row>
    <row r="202" spans="11:17" x14ac:dyDescent="0.2">
      <c r="K202" s="8"/>
      <c r="L202" s="8"/>
      <c r="M202" s="8"/>
      <c r="N202" s="8"/>
      <c r="O202" s="8"/>
      <c r="P202" s="8"/>
      <c r="Q202" s="8"/>
    </row>
    <row r="203" spans="11:17" x14ac:dyDescent="0.2">
      <c r="K203" s="8"/>
      <c r="L203" s="8"/>
      <c r="M203" s="8"/>
      <c r="N203" s="8"/>
      <c r="O203" s="8"/>
      <c r="P203" s="8"/>
      <c r="Q203" s="8"/>
    </row>
    <row r="204" spans="11:17" x14ac:dyDescent="0.2">
      <c r="K204" s="8"/>
      <c r="L204" s="8"/>
      <c r="M204" s="8"/>
      <c r="N204" s="8"/>
      <c r="O204" s="8"/>
      <c r="P204" s="8"/>
      <c r="Q204" s="8"/>
    </row>
    <row r="205" spans="11:17" x14ac:dyDescent="0.2">
      <c r="K205" s="8"/>
      <c r="L205" s="8"/>
      <c r="M205" s="8"/>
      <c r="N205" s="8"/>
      <c r="O205" s="8"/>
      <c r="P205" s="8"/>
      <c r="Q205" s="8"/>
    </row>
    <row r="206" spans="11:17" x14ac:dyDescent="0.2">
      <c r="K206" s="8"/>
      <c r="L206" s="8"/>
      <c r="M206" s="8"/>
      <c r="N206" s="8"/>
      <c r="O206" s="8"/>
      <c r="P206" s="8"/>
      <c r="Q206" s="8"/>
    </row>
    <row r="207" spans="11:17" x14ac:dyDescent="0.2">
      <c r="K207" s="8"/>
      <c r="L207" s="8"/>
      <c r="M207" s="8"/>
      <c r="N207" s="8"/>
      <c r="O207" s="8"/>
      <c r="P207" s="8"/>
      <c r="Q207" s="8"/>
    </row>
    <row r="208" spans="11:17" x14ac:dyDescent="0.2">
      <c r="K208" s="8"/>
      <c r="L208" s="8"/>
      <c r="M208" s="8"/>
      <c r="N208" s="8"/>
      <c r="O208" s="8"/>
      <c r="P208" s="8"/>
      <c r="Q208" s="8"/>
    </row>
    <row r="209" spans="11:17" x14ac:dyDescent="0.2">
      <c r="K209" s="8"/>
      <c r="L209" s="8"/>
      <c r="M209" s="8"/>
      <c r="N209" s="8"/>
      <c r="O209" s="8"/>
      <c r="P209" s="8"/>
      <c r="Q209" s="8"/>
    </row>
    <row r="210" spans="11:17" x14ac:dyDescent="0.2">
      <c r="K210" s="8"/>
      <c r="L210" s="8"/>
      <c r="M210" s="8"/>
      <c r="N210" s="8"/>
      <c r="O210" s="8"/>
      <c r="P210" s="8"/>
      <c r="Q210" s="8"/>
    </row>
    <row r="211" spans="11:17" x14ac:dyDescent="0.2">
      <c r="K211" s="8"/>
      <c r="L211" s="8"/>
      <c r="M211" s="8"/>
      <c r="N211" s="8"/>
      <c r="O211" s="8"/>
      <c r="P211" s="8"/>
      <c r="Q211" s="8"/>
    </row>
    <row r="212" spans="11:17" x14ac:dyDescent="0.2">
      <c r="K212" s="8"/>
      <c r="L212" s="8"/>
      <c r="M212" s="8"/>
      <c r="N212" s="8"/>
      <c r="O212" s="8"/>
      <c r="P212" s="8"/>
      <c r="Q212" s="8"/>
    </row>
    <row r="213" spans="11:17" x14ac:dyDescent="0.2">
      <c r="K213" s="8"/>
      <c r="L213" s="8"/>
      <c r="M213" s="8"/>
      <c r="N213" s="8"/>
      <c r="O213" s="8"/>
      <c r="P213" s="8"/>
      <c r="Q213" s="8"/>
    </row>
    <row r="214" spans="11:17" x14ac:dyDescent="0.2">
      <c r="K214" s="8"/>
      <c r="L214" s="8"/>
      <c r="M214" s="8"/>
      <c r="N214" s="8"/>
      <c r="O214" s="8"/>
      <c r="P214" s="8"/>
      <c r="Q214" s="8"/>
    </row>
    <row r="215" spans="11:17" x14ac:dyDescent="0.2">
      <c r="K215" s="8"/>
      <c r="L215" s="8"/>
      <c r="M215" s="8"/>
      <c r="N215" s="8"/>
      <c r="O215" s="8"/>
      <c r="P215" s="8"/>
      <c r="Q215" s="8"/>
    </row>
    <row r="216" spans="11:17" x14ac:dyDescent="0.2">
      <c r="K216" s="8"/>
      <c r="L216" s="8"/>
      <c r="M216" s="8"/>
      <c r="N216" s="8"/>
      <c r="O216" s="8"/>
      <c r="P216" s="8"/>
      <c r="Q216" s="8"/>
    </row>
    <row r="217" spans="11:17" x14ac:dyDescent="0.2">
      <c r="K217" s="8"/>
      <c r="L217" s="8"/>
      <c r="M217" s="8"/>
      <c r="N217" s="8"/>
      <c r="O217" s="8"/>
      <c r="P217" s="8"/>
      <c r="Q217" s="8"/>
    </row>
    <row r="218" spans="11:17" x14ac:dyDescent="0.2">
      <c r="K218" s="8"/>
      <c r="L218" s="8"/>
      <c r="M218" s="8"/>
      <c r="N218" s="8"/>
      <c r="O218" s="8"/>
      <c r="P218" s="8"/>
      <c r="Q218" s="8"/>
    </row>
    <row r="219" spans="11:17" x14ac:dyDescent="0.2">
      <c r="K219" s="8"/>
      <c r="L219" s="8"/>
      <c r="M219" s="8"/>
      <c r="N219" s="8"/>
      <c r="O219" s="8"/>
      <c r="P219" s="8"/>
      <c r="Q219" s="8"/>
    </row>
    <row r="220" spans="11:17" x14ac:dyDescent="0.2">
      <c r="K220" s="8"/>
      <c r="L220" s="8"/>
      <c r="M220" s="8"/>
      <c r="N220" s="8"/>
      <c r="O220" s="8"/>
      <c r="P220" s="8"/>
      <c r="Q220" s="8"/>
    </row>
    <row r="221" spans="11:17" x14ac:dyDescent="0.2">
      <c r="K221" s="8"/>
      <c r="L221" s="8"/>
      <c r="M221" s="8"/>
      <c r="N221" s="8"/>
      <c r="O221" s="8"/>
      <c r="P221" s="8"/>
      <c r="Q221" s="8"/>
    </row>
    <row r="222" spans="11:17" x14ac:dyDescent="0.2">
      <c r="K222" s="8"/>
      <c r="L222" s="8"/>
      <c r="M222" s="8"/>
      <c r="N222" s="8"/>
      <c r="O222" s="8"/>
      <c r="P222" s="8"/>
      <c r="Q222" s="8"/>
    </row>
    <row r="223" spans="11:17" x14ac:dyDescent="0.2">
      <c r="K223" s="8"/>
      <c r="L223" s="8"/>
      <c r="M223" s="8"/>
      <c r="N223" s="8"/>
      <c r="O223" s="8"/>
      <c r="P223" s="8"/>
      <c r="Q223" s="8"/>
    </row>
    <row r="224" spans="11:17" x14ac:dyDescent="0.2">
      <c r="K224" s="8"/>
      <c r="L224" s="8"/>
      <c r="M224" s="8"/>
      <c r="N224" s="8"/>
      <c r="O224" s="8"/>
      <c r="P224" s="8"/>
      <c r="Q224" s="8"/>
    </row>
    <row r="225" spans="11:17" x14ac:dyDescent="0.2">
      <c r="K225" s="8"/>
      <c r="L225" s="8"/>
      <c r="M225" s="8"/>
      <c r="N225" s="8"/>
      <c r="O225" s="8"/>
      <c r="P225" s="8"/>
      <c r="Q225" s="8"/>
    </row>
    <row r="226" spans="11:17" x14ac:dyDescent="0.2">
      <c r="K226" s="8"/>
      <c r="L226" s="8"/>
      <c r="M226" s="8"/>
      <c r="N226" s="8"/>
      <c r="O226" s="8"/>
      <c r="P226" s="8"/>
      <c r="Q226" s="8"/>
    </row>
    <row r="227" spans="11:17" x14ac:dyDescent="0.2">
      <c r="K227" s="8"/>
      <c r="L227" s="8"/>
      <c r="M227" s="8"/>
      <c r="N227" s="8"/>
      <c r="O227" s="8"/>
      <c r="P227" s="8"/>
      <c r="Q227" s="8"/>
    </row>
    <row r="228" spans="11:17" x14ac:dyDescent="0.2">
      <c r="K228" s="8"/>
      <c r="L228" s="8"/>
      <c r="M228" s="8"/>
      <c r="N228" s="8"/>
      <c r="O228" s="8"/>
      <c r="P228" s="8"/>
      <c r="Q228" s="8"/>
    </row>
    <row r="229" spans="11:17" x14ac:dyDescent="0.2">
      <c r="K229" s="8"/>
      <c r="L229" s="8"/>
      <c r="M229" s="8"/>
      <c r="N229" s="8"/>
      <c r="O229" s="8"/>
      <c r="P229" s="8"/>
      <c r="Q229" s="8"/>
    </row>
    <row r="230" spans="11:17" x14ac:dyDescent="0.2">
      <c r="K230" s="8"/>
      <c r="L230" s="8"/>
      <c r="M230" s="8"/>
      <c r="N230" s="8"/>
      <c r="O230" s="8"/>
      <c r="P230" s="8"/>
      <c r="Q230" s="8"/>
    </row>
    <row r="231" spans="11:17" x14ac:dyDescent="0.2">
      <c r="K231" s="8"/>
      <c r="L231" s="8"/>
      <c r="M231" s="8"/>
      <c r="N231" s="8"/>
      <c r="O231" s="8"/>
      <c r="P231" s="8"/>
      <c r="Q231" s="8"/>
    </row>
    <row r="232" spans="11:17" x14ac:dyDescent="0.2">
      <c r="K232" s="8"/>
      <c r="L232" s="8"/>
      <c r="M232" s="8"/>
      <c r="N232" s="8"/>
      <c r="O232" s="8"/>
      <c r="P232" s="8"/>
      <c r="Q232" s="8"/>
    </row>
    <row r="233" spans="11:17" x14ac:dyDescent="0.2">
      <c r="K233" s="8"/>
      <c r="L233" s="8"/>
      <c r="M233" s="8"/>
      <c r="N233" s="8"/>
      <c r="O233" s="8"/>
      <c r="P233" s="8"/>
      <c r="Q233" s="8"/>
    </row>
    <row r="234" spans="11:17" x14ac:dyDescent="0.2">
      <c r="K234" s="8"/>
      <c r="L234" s="8"/>
      <c r="M234" s="8"/>
      <c r="N234" s="8"/>
      <c r="O234" s="8"/>
      <c r="P234" s="8"/>
      <c r="Q234" s="8"/>
    </row>
    <row r="235" spans="11:17" x14ac:dyDescent="0.2">
      <c r="K235" s="8"/>
      <c r="L235" s="8"/>
      <c r="M235" s="8"/>
      <c r="N235" s="8"/>
      <c r="O235" s="8"/>
      <c r="P235" s="8"/>
      <c r="Q235" s="8"/>
    </row>
    <row r="236" spans="11:17" x14ac:dyDescent="0.2">
      <c r="K236" s="8"/>
      <c r="L236" s="8"/>
      <c r="M236" s="8"/>
      <c r="N236" s="8"/>
      <c r="O236" s="8"/>
      <c r="P236" s="8"/>
      <c r="Q236" s="8"/>
    </row>
    <row r="237" spans="11:17" x14ac:dyDescent="0.2">
      <c r="K237" s="8"/>
      <c r="L237" s="8"/>
      <c r="M237" s="8"/>
      <c r="N237" s="8"/>
      <c r="O237" s="8"/>
      <c r="P237" s="8"/>
      <c r="Q237" s="8"/>
    </row>
    <row r="238" spans="11:17" x14ac:dyDescent="0.2">
      <c r="K238" s="8"/>
      <c r="L238" s="8"/>
      <c r="M238" s="8"/>
      <c r="N238" s="8"/>
      <c r="O238" s="8"/>
      <c r="P238" s="8"/>
      <c r="Q238" s="8"/>
    </row>
    <row r="239" spans="11:17" x14ac:dyDescent="0.2">
      <c r="K239" s="8"/>
      <c r="L239" s="8"/>
      <c r="M239" s="8"/>
      <c r="N239" s="8"/>
      <c r="O239" s="8"/>
      <c r="P239" s="8"/>
      <c r="Q239" s="8"/>
    </row>
    <row r="240" spans="11:17" x14ac:dyDescent="0.2">
      <c r="K240" s="8"/>
      <c r="L240" s="8"/>
      <c r="M240" s="8"/>
      <c r="N240" s="8"/>
      <c r="O240" s="8"/>
      <c r="P240" s="8"/>
      <c r="Q240" s="8"/>
    </row>
    <row r="241" spans="11:17" x14ac:dyDescent="0.2">
      <c r="K241" s="8"/>
      <c r="L241" s="8"/>
      <c r="M241" s="8"/>
      <c r="N241" s="8"/>
      <c r="O241" s="8"/>
      <c r="P241" s="8"/>
      <c r="Q241" s="8"/>
    </row>
    <row r="242" spans="11:17" x14ac:dyDescent="0.2">
      <c r="K242" s="8"/>
      <c r="L242" s="8"/>
      <c r="M242" s="8"/>
      <c r="N242" s="8"/>
      <c r="O242" s="8"/>
      <c r="P242" s="8"/>
      <c r="Q242" s="8"/>
    </row>
    <row r="243" spans="11:17" x14ac:dyDescent="0.2">
      <c r="K243" s="8"/>
      <c r="L243" s="8"/>
      <c r="M243" s="8"/>
      <c r="N243" s="8"/>
      <c r="O243" s="8"/>
      <c r="P243" s="8"/>
      <c r="Q243" s="8"/>
    </row>
    <row r="244" spans="11:17" x14ac:dyDescent="0.2">
      <c r="K244" s="8"/>
      <c r="L244" s="8"/>
      <c r="M244" s="8"/>
      <c r="N244" s="8"/>
      <c r="O244" s="8"/>
      <c r="P244" s="8"/>
      <c r="Q244" s="8"/>
    </row>
    <row r="245" spans="11:17" x14ac:dyDescent="0.2">
      <c r="K245" s="8"/>
      <c r="L245" s="8"/>
      <c r="M245" s="8"/>
      <c r="N245" s="8"/>
      <c r="O245" s="8"/>
      <c r="P245" s="8"/>
      <c r="Q245" s="8"/>
    </row>
    <row r="246" spans="11:17" x14ac:dyDescent="0.2">
      <c r="K246" s="8"/>
      <c r="L246" s="8"/>
      <c r="M246" s="8"/>
      <c r="N246" s="8"/>
      <c r="O246" s="8"/>
      <c r="P246" s="8"/>
      <c r="Q246" s="8"/>
    </row>
    <row r="247" spans="11:17" x14ac:dyDescent="0.2">
      <c r="K247" s="8"/>
      <c r="L247" s="8"/>
      <c r="M247" s="8"/>
      <c r="N247" s="8"/>
      <c r="O247" s="8"/>
      <c r="P247" s="8"/>
      <c r="Q247" s="8"/>
    </row>
    <row r="248" spans="11:17" x14ac:dyDescent="0.2">
      <c r="K248" s="8"/>
      <c r="L248" s="8"/>
      <c r="M248" s="8"/>
      <c r="N248" s="8"/>
      <c r="O248" s="8"/>
      <c r="P248" s="8"/>
      <c r="Q248" s="8"/>
    </row>
    <row r="249" spans="11:17" x14ac:dyDescent="0.2">
      <c r="K249" s="8"/>
      <c r="L249" s="8"/>
      <c r="M249" s="8"/>
      <c r="N249" s="8"/>
      <c r="O249" s="8"/>
      <c r="P249" s="8"/>
      <c r="Q249" s="8"/>
    </row>
    <row r="250" spans="11:17" x14ac:dyDescent="0.2">
      <c r="K250" s="8"/>
      <c r="L250" s="8"/>
      <c r="M250" s="8"/>
      <c r="N250" s="8"/>
      <c r="O250" s="8"/>
      <c r="P250" s="8"/>
      <c r="Q250" s="8"/>
    </row>
    <row r="251" spans="11:17" x14ac:dyDescent="0.2">
      <c r="K251" s="8"/>
      <c r="L251" s="8"/>
      <c r="M251" s="8"/>
      <c r="N251" s="8"/>
      <c r="O251" s="8"/>
      <c r="P251" s="8"/>
      <c r="Q251" s="8"/>
    </row>
    <row r="252" spans="11:17" x14ac:dyDescent="0.2">
      <c r="K252" s="8"/>
      <c r="L252" s="8"/>
      <c r="M252" s="8"/>
      <c r="N252" s="8"/>
      <c r="O252" s="8"/>
      <c r="P252" s="8"/>
      <c r="Q252" s="8"/>
    </row>
    <row r="253" spans="11:17" x14ac:dyDescent="0.2">
      <c r="K253" s="8"/>
      <c r="L253" s="8"/>
      <c r="M253" s="8"/>
      <c r="N253" s="8"/>
      <c r="O253" s="8"/>
      <c r="P253" s="8"/>
      <c r="Q253" s="8"/>
    </row>
    <row r="254" spans="11:17" x14ac:dyDescent="0.2">
      <c r="K254" s="8"/>
      <c r="L254" s="8"/>
      <c r="M254" s="8"/>
      <c r="N254" s="8"/>
      <c r="O254" s="8"/>
      <c r="P254" s="8"/>
      <c r="Q254" s="8"/>
    </row>
    <row r="255" spans="11:17" x14ac:dyDescent="0.2">
      <c r="K255" s="8"/>
      <c r="L255" s="8"/>
      <c r="M255" s="8"/>
      <c r="N255" s="8"/>
      <c r="O255" s="8"/>
      <c r="P255" s="8"/>
      <c r="Q255" s="8"/>
    </row>
    <row r="256" spans="11:17" x14ac:dyDescent="0.2">
      <c r="K256" s="8"/>
      <c r="L256" s="8"/>
      <c r="M256" s="8"/>
      <c r="N256" s="8"/>
      <c r="O256" s="8"/>
      <c r="P256" s="8"/>
      <c r="Q256" s="8"/>
    </row>
    <row r="257" spans="11:17" x14ac:dyDescent="0.2">
      <c r="K257" s="8"/>
      <c r="L257" s="8"/>
      <c r="M257" s="8"/>
      <c r="N257" s="8"/>
      <c r="O257" s="8"/>
      <c r="P257" s="8"/>
      <c r="Q257" s="8"/>
    </row>
    <row r="258" spans="11:17" x14ac:dyDescent="0.2">
      <c r="K258" s="8"/>
      <c r="L258" s="8"/>
      <c r="M258" s="8"/>
      <c r="N258" s="8"/>
      <c r="O258" s="8"/>
      <c r="P258" s="8"/>
      <c r="Q258" s="8"/>
    </row>
    <row r="259" spans="11:17" x14ac:dyDescent="0.2">
      <c r="K259" s="8"/>
      <c r="L259" s="8"/>
      <c r="M259" s="8"/>
      <c r="N259" s="8"/>
      <c r="O259" s="8"/>
      <c r="P259" s="8"/>
      <c r="Q259" s="8"/>
    </row>
    <row r="260" spans="11:17" x14ac:dyDescent="0.2">
      <c r="K260" s="8"/>
      <c r="L260" s="8"/>
      <c r="M260" s="8"/>
      <c r="N260" s="8"/>
      <c r="O260" s="8"/>
      <c r="P260" s="8"/>
      <c r="Q260" s="8"/>
    </row>
    <row r="261" spans="11:17" x14ac:dyDescent="0.2">
      <c r="K261" s="8"/>
      <c r="L261" s="8"/>
      <c r="M261" s="8"/>
      <c r="N261" s="8"/>
      <c r="O261" s="8"/>
      <c r="P261" s="8"/>
      <c r="Q261" s="8"/>
    </row>
    <row r="262" spans="11:17" x14ac:dyDescent="0.2">
      <c r="K262" s="8"/>
      <c r="L262" s="8"/>
      <c r="M262" s="8"/>
      <c r="N262" s="8"/>
      <c r="O262" s="8"/>
      <c r="P262" s="8"/>
      <c r="Q262" s="8"/>
    </row>
    <row r="263" spans="11:17" x14ac:dyDescent="0.2">
      <c r="K263" s="8"/>
      <c r="L263" s="8"/>
      <c r="M263" s="8"/>
      <c r="N263" s="8"/>
      <c r="O263" s="8"/>
      <c r="P263" s="8"/>
      <c r="Q263" s="8"/>
    </row>
    <row r="264" spans="11:17" x14ac:dyDescent="0.2">
      <c r="K264" s="8"/>
      <c r="L264" s="8"/>
      <c r="M264" s="8"/>
      <c r="N264" s="8"/>
      <c r="O264" s="8"/>
      <c r="P264" s="8"/>
      <c r="Q264" s="8"/>
    </row>
    <row r="265" spans="11:17" x14ac:dyDescent="0.2">
      <c r="K265" s="8"/>
      <c r="L265" s="8"/>
      <c r="M265" s="8"/>
      <c r="N265" s="8"/>
      <c r="O265" s="8"/>
      <c r="P265" s="8"/>
      <c r="Q265" s="8"/>
    </row>
    <row r="266" spans="11:17" x14ac:dyDescent="0.2">
      <c r="K266" s="8"/>
      <c r="L266" s="8"/>
      <c r="M266" s="8"/>
      <c r="N266" s="8"/>
      <c r="O266" s="8"/>
      <c r="P266" s="8"/>
      <c r="Q266" s="8"/>
    </row>
    <row r="267" spans="11:17" x14ac:dyDescent="0.2">
      <c r="K267" s="8"/>
      <c r="L267" s="8"/>
      <c r="M267" s="8"/>
      <c r="N267" s="8"/>
      <c r="O267" s="8"/>
      <c r="P267" s="8"/>
      <c r="Q267" s="8"/>
    </row>
    <row r="268" spans="11:17" x14ac:dyDescent="0.2">
      <c r="K268" s="8"/>
      <c r="L268" s="8"/>
      <c r="M268" s="8"/>
      <c r="N268" s="8"/>
      <c r="O268" s="8"/>
      <c r="P268" s="8"/>
      <c r="Q268" s="8"/>
    </row>
    <row r="269" spans="11:17" x14ac:dyDescent="0.2">
      <c r="K269" s="8"/>
      <c r="L269" s="8"/>
      <c r="M269" s="8"/>
      <c r="N269" s="8"/>
      <c r="O269" s="8"/>
      <c r="P269" s="8"/>
      <c r="Q269" s="8"/>
    </row>
    <row r="270" spans="11:17" x14ac:dyDescent="0.2">
      <c r="K270" s="8"/>
      <c r="L270" s="8"/>
      <c r="M270" s="8"/>
      <c r="N270" s="8"/>
      <c r="O270" s="8"/>
      <c r="P270" s="8"/>
      <c r="Q270" s="8"/>
    </row>
    <row r="271" spans="11:17" x14ac:dyDescent="0.2">
      <c r="K271" s="8"/>
      <c r="L271" s="8"/>
      <c r="M271" s="8"/>
      <c r="N271" s="8"/>
      <c r="O271" s="8"/>
      <c r="P271" s="8"/>
      <c r="Q271" s="8"/>
    </row>
    <row r="272" spans="11:17" x14ac:dyDescent="0.2">
      <c r="K272" s="8"/>
      <c r="L272" s="8"/>
      <c r="M272" s="8"/>
      <c r="N272" s="8"/>
      <c r="O272" s="8"/>
      <c r="P272" s="8"/>
      <c r="Q272" s="8"/>
    </row>
    <row r="273" spans="11:17" x14ac:dyDescent="0.2">
      <c r="K273" s="8"/>
      <c r="L273" s="8"/>
      <c r="M273" s="8"/>
      <c r="N273" s="8"/>
      <c r="O273" s="8"/>
      <c r="P273" s="8"/>
      <c r="Q273" s="8"/>
    </row>
    <row r="274" spans="11:17" x14ac:dyDescent="0.2">
      <c r="K274" s="8"/>
      <c r="L274" s="8"/>
      <c r="M274" s="8"/>
      <c r="N274" s="8"/>
      <c r="O274" s="8"/>
      <c r="P274" s="8"/>
      <c r="Q274" s="8"/>
    </row>
    <row r="275" spans="11:17" x14ac:dyDescent="0.2">
      <c r="K275" s="8"/>
      <c r="L275" s="8"/>
      <c r="M275" s="8"/>
      <c r="N275" s="8"/>
      <c r="O275" s="8"/>
      <c r="P275" s="8"/>
      <c r="Q275" s="8"/>
    </row>
    <row r="276" spans="11:17" x14ac:dyDescent="0.2">
      <c r="K276" s="8"/>
      <c r="L276" s="8"/>
      <c r="M276" s="8"/>
      <c r="N276" s="8"/>
      <c r="O276" s="8"/>
      <c r="P276" s="8"/>
      <c r="Q276" s="8"/>
    </row>
    <row r="277" spans="11:17" x14ac:dyDescent="0.2">
      <c r="K277" s="8"/>
      <c r="L277" s="8"/>
      <c r="M277" s="8"/>
      <c r="N277" s="8"/>
      <c r="O277" s="8"/>
      <c r="P277" s="8"/>
      <c r="Q277" s="8"/>
    </row>
  </sheetData>
  <dataConsolidate/>
  <mergeCells count="1">
    <mergeCell ref="B6:H6"/>
  </mergeCells>
  <conditionalFormatting sqref="C51:C52">
    <cfRule type="colorScale" priority="1">
      <colorScale>
        <cfvo type="min"/>
        <cfvo type="max"/>
        <color rgb="FF00FFFF"/>
        <color theme="0"/>
      </colorScale>
    </cfRule>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B60B-A533-499D-B9E9-EEA0D56C8B17}">
  <sheetPr>
    <tabColor theme="3"/>
  </sheetPr>
  <dimension ref="A1:Z68"/>
  <sheetViews>
    <sheetView showGridLines="0" zoomScale="85" zoomScaleNormal="85" workbookViewId="0">
      <pane xSplit="2" ySplit="11" topLeftCell="C12" activePane="bottomRight" state="frozen"/>
      <selection pane="topRight" activeCell="C1" sqref="C1"/>
      <selection pane="bottomLeft" activeCell="A8" sqref="A8"/>
      <selection pane="bottomRight" activeCell="A54" sqref="A54"/>
    </sheetView>
  </sheetViews>
  <sheetFormatPr defaultColWidth="9" defaultRowHeight="12.75" customHeight="1" x14ac:dyDescent="0.2"/>
  <cols>
    <col min="1" max="1" width="4.5" style="1" customWidth="1"/>
    <col min="2" max="2" width="36.625" style="1" customWidth="1"/>
    <col min="3" max="3" width="10.75" style="1" customWidth="1"/>
    <col min="4" max="6" width="1.125" style="1" customWidth="1"/>
    <col min="7" max="7" width="9" style="1" customWidth="1"/>
    <col min="8" max="11" width="0.875" style="1" customWidth="1"/>
    <col min="12" max="17" width="9" style="1" customWidth="1"/>
    <col min="18" max="18" width="3.25" style="1" customWidth="1"/>
    <col min="19" max="19" width="9" style="1" customWidth="1"/>
    <col min="20" max="25" width="9" style="1"/>
    <col min="26" max="26" width="18.375" style="1" customWidth="1"/>
    <col min="27" max="16384" width="9" style="1"/>
  </cols>
  <sheetData>
    <row r="1" spans="1:26" ht="21" x14ac:dyDescent="0.35">
      <c r="A1" s="3" t="s">
        <v>28</v>
      </c>
      <c r="L1" s="192" t="s">
        <v>121</v>
      </c>
      <c r="M1" s="176" t="s">
        <v>122</v>
      </c>
    </row>
    <row r="2" spans="1:26" ht="18.75" x14ac:dyDescent="0.3">
      <c r="A2" s="7" t="s">
        <v>31</v>
      </c>
      <c r="G2" s="52"/>
      <c r="H2" s="52"/>
    </row>
    <row r="3" spans="1:26" x14ac:dyDescent="0.2">
      <c r="A3" s="1" t="s">
        <v>31</v>
      </c>
      <c r="G3" s="52"/>
      <c r="H3" s="52"/>
    </row>
    <row r="4" spans="1:26" x14ac:dyDescent="0.2">
      <c r="G4" s="52"/>
      <c r="H4" s="52"/>
    </row>
    <row r="10" spans="1:26" x14ac:dyDescent="0.2">
      <c r="A10" s="2" t="s">
        <v>21</v>
      </c>
      <c r="B10" s="2"/>
      <c r="C10" s="2"/>
      <c r="D10" s="2"/>
      <c r="E10" s="2"/>
      <c r="F10" s="2"/>
      <c r="G10" s="44"/>
      <c r="H10" s="44"/>
      <c r="I10" s="2"/>
      <c r="J10" s="2"/>
      <c r="K10" s="6"/>
      <c r="L10" s="6"/>
      <c r="M10" s="6"/>
      <c r="N10" s="6"/>
      <c r="O10" s="6"/>
      <c r="P10" s="6"/>
      <c r="Q10" s="6"/>
    </row>
    <row r="12" spans="1:26" ht="12.75" customHeight="1" x14ac:dyDescent="0.2">
      <c r="A12" s="1" t="s">
        <v>9</v>
      </c>
      <c r="C12" s="73">
        <v>2019</v>
      </c>
    </row>
    <row r="14" spans="1:26" x14ac:dyDescent="0.2">
      <c r="B14" s="4" t="s">
        <v>85</v>
      </c>
      <c r="U14" s="33"/>
      <c r="V14" s="33"/>
      <c r="W14" s="33"/>
      <c r="X14" s="33"/>
      <c r="Y14" s="33"/>
      <c r="Z14" s="33"/>
    </row>
    <row r="15" spans="1:26" x14ac:dyDescent="0.2">
      <c r="B15" s="1" t="s">
        <v>86</v>
      </c>
      <c r="C15" s="135">
        <v>1500</v>
      </c>
      <c r="U15" s="33"/>
      <c r="V15" s="33"/>
      <c r="W15" s="33"/>
      <c r="X15" s="33"/>
      <c r="Y15" s="33"/>
      <c r="Z15" s="33"/>
    </row>
    <row r="18" spans="1:26" x14ac:dyDescent="0.2">
      <c r="B18" s="1" t="s">
        <v>57</v>
      </c>
      <c r="M18" s="136" t="s">
        <v>16</v>
      </c>
      <c r="N18" s="136" t="s">
        <v>17</v>
      </c>
      <c r="O18" s="136" t="s">
        <v>18</v>
      </c>
      <c r="P18" s="136" t="s">
        <v>19</v>
      </c>
      <c r="Q18" s="136" t="s">
        <v>20</v>
      </c>
      <c r="S18" s="136" t="s">
        <v>3</v>
      </c>
      <c r="U18" s="128"/>
      <c r="V18" s="128"/>
      <c r="W18" s="128"/>
      <c r="X18" s="128"/>
      <c r="Y18" s="128"/>
      <c r="Z18" s="128"/>
    </row>
    <row r="19" spans="1:26" x14ac:dyDescent="0.2">
      <c r="B19" s="1" t="s">
        <v>87</v>
      </c>
      <c r="M19" s="137">
        <v>430</v>
      </c>
      <c r="N19" s="137">
        <v>418</v>
      </c>
      <c r="O19" s="137">
        <v>435</v>
      </c>
      <c r="P19" s="137">
        <v>405</v>
      </c>
      <c r="Q19" s="137">
        <v>423</v>
      </c>
      <c r="S19" s="138">
        <f>SUM(M19:Q19)</f>
        <v>2111</v>
      </c>
      <c r="U19" s="128"/>
      <c r="V19" s="128"/>
      <c r="W19" s="128"/>
      <c r="X19" s="128"/>
      <c r="Y19" s="128"/>
      <c r="Z19" s="128"/>
    </row>
    <row r="22" spans="1:26" ht="12.75" customHeight="1" x14ac:dyDescent="0.2">
      <c r="A22" s="157" t="s">
        <v>90</v>
      </c>
      <c r="B22" s="157"/>
      <c r="C22" s="139"/>
      <c r="D22" s="159"/>
      <c r="E22" s="159"/>
      <c r="F22" s="159"/>
      <c r="G22" s="159"/>
      <c r="H22" s="159"/>
      <c r="I22" s="159"/>
      <c r="J22" s="159"/>
      <c r="K22" s="159"/>
      <c r="L22" s="159"/>
    </row>
    <row r="23" spans="1:26" ht="12.75" customHeight="1" x14ac:dyDescent="0.2">
      <c r="A23" s="158" t="s">
        <v>91</v>
      </c>
      <c r="B23" s="158"/>
      <c r="C23" s="135">
        <v>6663</v>
      </c>
      <c r="D23" s="159"/>
      <c r="E23" s="159"/>
      <c r="F23" s="159"/>
      <c r="G23" s="159"/>
      <c r="H23" s="159"/>
      <c r="I23" s="159"/>
      <c r="J23" s="159"/>
      <c r="K23" s="159"/>
      <c r="L23" s="159"/>
    </row>
    <row r="24" spans="1:26" ht="12.75" customHeight="1" x14ac:dyDescent="0.2">
      <c r="A24" s="158" t="s">
        <v>92</v>
      </c>
      <c r="B24" s="158"/>
      <c r="C24" s="135">
        <v>7166</v>
      </c>
      <c r="D24" s="159"/>
      <c r="E24" s="159"/>
      <c r="F24" s="159"/>
      <c r="G24" s="159"/>
      <c r="H24" s="159"/>
      <c r="I24" s="159"/>
      <c r="J24" s="159"/>
      <c r="K24" s="159"/>
      <c r="L24" s="159"/>
    </row>
    <row r="25" spans="1:26" ht="12.75" customHeight="1" x14ac:dyDescent="0.2">
      <c r="A25" s="158" t="s">
        <v>93</v>
      </c>
      <c r="B25" s="158"/>
      <c r="C25" s="135">
        <v>1215</v>
      </c>
      <c r="D25" s="159"/>
      <c r="E25" s="159"/>
      <c r="F25" s="159"/>
      <c r="G25" s="159"/>
      <c r="H25" s="159"/>
      <c r="I25" s="159"/>
      <c r="J25" s="159"/>
      <c r="K25" s="159"/>
      <c r="L25" s="159"/>
    </row>
    <row r="26" spans="1:26" ht="12.75" customHeight="1" x14ac:dyDescent="0.2">
      <c r="A26" s="158"/>
      <c r="B26" s="158"/>
    </row>
    <row r="27" spans="1:26" ht="12.75" customHeight="1" x14ac:dyDescent="0.2">
      <c r="A27" s="158"/>
      <c r="B27" s="158"/>
      <c r="C27" s="140"/>
      <c r="D27" s="140"/>
      <c r="E27" s="140"/>
      <c r="F27" s="140"/>
      <c r="G27" s="140"/>
      <c r="H27" s="140"/>
      <c r="I27" s="140"/>
      <c r="J27" s="140"/>
      <c r="K27" s="140"/>
      <c r="L27" s="140"/>
      <c r="M27" s="128"/>
    </row>
    <row r="28" spans="1:26" ht="12.75" customHeight="1" x14ac:dyDescent="0.2">
      <c r="A28" s="157" t="s">
        <v>94</v>
      </c>
      <c r="B28" s="157"/>
      <c r="C28" s="141"/>
      <c r="D28" s="140"/>
      <c r="E28" s="140"/>
      <c r="F28" s="140"/>
      <c r="G28" s="140"/>
      <c r="H28" s="140"/>
      <c r="I28" s="140"/>
      <c r="J28" s="140"/>
      <c r="K28" s="140"/>
      <c r="L28" s="140"/>
      <c r="M28" s="128"/>
    </row>
    <row r="29" spans="1:26" ht="12.75" customHeight="1" x14ac:dyDescent="0.2">
      <c r="A29" s="158" t="s">
        <v>95</v>
      </c>
      <c r="B29" s="158"/>
      <c r="C29" s="135">
        <v>129983</v>
      </c>
      <c r="D29" s="140"/>
      <c r="E29" s="140"/>
      <c r="F29" s="140"/>
      <c r="G29" s="140"/>
      <c r="H29" s="140"/>
      <c r="I29" s="140"/>
      <c r="J29" s="140"/>
      <c r="K29" s="140"/>
      <c r="L29" s="140"/>
      <c r="M29" s="128"/>
    </row>
    <row r="30" spans="1:26" ht="12.75" customHeight="1" x14ac:dyDescent="0.2">
      <c r="A30" s="158" t="s">
        <v>96</v>
      </c>
      <c r="B30" s="158"/>
      <c r="C30" s="135">
        <v>14320</v>
      </c>
      <c r="D30" s="140"/>
      <c r="E30" s="140"/>
      <c r="F30" s="140"/>
      <c r="G30" s="140"/>
      <c r="H30" s="140"/>
      <c r="I30" s="140"/>
      <c r="J30" s="140"/>
      <c r="K30" s="140"/>
      <c r="L30" s="140"/>
      <c r="M30" s="128"/>
    </row>
    <row r="31" spans="1:26" ht="12.75" customHeight="1" x14ac:dyDescent="0.2">
      <c r="A31" s="158" t="s">
        <v>97</v>
      </c>
      <c r="B31" s="158"/>
      <c r="C31" s="24">
        <f>SUM(C29:C30)</f>
        <v>144303</v>
      </c>
      <c r="D31" s="140"/>
      <c r="E31" s="140"/>
      <c r="F31" s="140"/>
      <c r="G31" s="140"/>
      <c r="H31" s="140"/>
      <c r="I31" s="140"/>
      <c r="J31" s="140"/>
      <c r="K31" s="140"/>
      <c r="L31" s="140"/>
      <c r="M31" s="128"/>
    </row>
    <row r="32" spans="1:26" ht="12.75" customHeight="1" x14ac:dyDescent="0.2">
      <c r="A32" s="158" t="s">
        <v>98</v>
      </c>
      <c r="B32" s="158"/>
      <c r="C32" s="142">
        <f>C24</f>
        <v>7166</v>
      </c>
      <c r="D32" s="140"/>
      <c r="E32" s="140"/>
      <c r="F32" s="140"/>
      <c r="G32" s="140"/>
      <c r="H32" s="140"/>
      <c r="I32" s="140"/>
      <c r="J32" s="140"/>
      <c r="K32" s="140"/>
      <c r="L32" s="140"/>
      <c r="M32" s="128"/>
    </row>
    <row r="33" spans="1:21" ht="12.75" customHeight="1" x14ac:dyDescent="0.2">
      <c r="A33" s="157" t="s">
        <v>99</v>
      </c>
      <c r="B33" s="157"/>
      <c r="C33" s="143">
        <f>C32/C31</f>
        <v>4.9659397240528612E-2</v>
      </c>
      <c r="D33" s="140"/>
      <c r="E33" s="140"/>
      <c r="F33" s="140"/>
      <c r="G33" s="140"/>
      <c r="H33" s="140"/>
      <c r="I33" s="140"/>
      <c r="J33" s="140"/>
      <c r="K33" s="140"/>
      <c r="L33" s="140"/>
      <c r="M33" s="128"/>
    </row>
    <row r="34" spans="1:21" ht="12.75" customHeight="1" x14ac:dyDescent="0.2">
      <c r="A34" s="158"/>
      <c r="B34" s="158"/>
      <c r="C34" s="140"/>
      <c r="D34" s="140"/>
      <c r="E34" s="140"/>
      <c r="F34" s="140"/>
      <c r="G34" s="140"/>
      <c r="H34" s="140"/>
      <c r="I34" s="140"/>
      <c r="J34" s="140"/>
      <c r="K34" s="140"/>
      <c r="L34" s="140"/>
      <c r="M34" s="128"/>
    </row>
    <row r="35" spans="1:21" ht="12.75" customHeight="1" x14ac:dyDescent="0.2">
      <c r="A35" s="158"/>
      <c r="B35" s="158"/>
      <c r="D35" s="140"/>
      <c r="E35" s="140"/>
      <c r="F35" s="140"/>
      <c r="G35" s="140"/>
      <c r="H35" s="140"/>
      <c r="I35" s="140"/>
      <c r="J35" s="140"/>
      <c r="K35" s="140"/>
      <c r="L35" s="140"/>
    </row>
    <row r="36" spans="1:21" ht="12.75" customHeight="1" x14ac:dyDescent="0.2">
      <c r="A36" s="157" t="s">
        <v>102</v>
      </c>
      <c r="B36" s="157"/>
      <c r="C36" s="144"/>
      <c r="D36" s="140"/>
      <c r="E36" s="140"/>
      <c r="F36" s="140"/>
      <c r="G36" s="140"/>
      <c r="H36" s="140"/>
      <c r="I36" s="140"/>
      <c r="J36" s="140"/>
      <c r="K36" s="140"/>
      <c r="L36" s="140"/>
    </row>
    <row r="37" spans="1:21" ht="12.75" customHeight="1" x14ac:dyDescent="0.2">
      <c r="A37" s="158" t="s">
        <v>103</v>
      </c>
      <c r="B37" s="158"/>
      <c r="C37" s="145">
        <v>235000</v>
      </c>
      <c r="D37" s="140"/>
      <c r="E37" s="140"/>
      <c r="F37" s="140"/>
      <c r="G37" s="140"/>
      <c r="H37" s="140"/>
      <c r="I37" s="140"/>
      <c r="J37" s="140"/>
      <c r="K37" s="140"/>
      <c r="L37" s="140"/>
      <c r="U37" s="27"/>
    </row>
    <row r="38" spans="1:21" ht="12.75" customHeight="1" x14ac:dyDescent="0.2">
      <c r="A38" s="158" t="s">
        <v>104</v>
      </c>
      <c r="B38" s="158"/>
      <c r="C38" s="146">
        <v>130</v>
      </c>
      <c r="D38" s="140"/>
      <c r="E38" s="140"/>
      <c r="F38" s="140"/>
      <c r="G38" s="140"/>
      <c r="H38" s="140"/>
      <c r="I38" s="140"/>
      <c r="J38" s="140"/>
      <c r="K38" s="140"/>
      <c r="L38" s="140"/>
      <c r="U38" s="27"/>
    </row>
    <row r="39" spans="1:21" ht="12.75" customHeight="1" x14ac:dyDescent="0.2">
      <c r="A39" s="158"/>
      <c r="B39" s="158"/>
      <c r="D39" s="140"/>
      <c r="E39" s="140"/>
      <c r="F39" s="140"/>
      <c r="G39" s="140"/>
      <c r="H39" s="140"/>
      <c r="I39" s="140"/>
      <c r="J39" s="140"/>
      <c r="K39" s="140"/>
      <c r="L39" s="140"/>
      <c r="U39" s="27"/>
    </row>
    <row r="40" spans="1:21" ht="12.75" customHeight="1" x14ac:dyDescent="0.2">
      <c r="A40" s="157" t="s">
        <v>100</v>
      </c>
      <c r="B40" s="158"/>
      <c r="D40" s="140"/>
      <c r="E40" s="140"/>
      <c r="F40" s="140"/>
      <c r="G40" s="140"/>
      <c r="H40" s="140"/>
      <c r="I40" s="140"/>
      <c r="J40" s="140"/>
      <c r="K40" s="140"/>
      <c r="L40" s="140"/>
      <c r="U40" s="27"/>
    </row>
    <row r="41" spans="1:21" ht="12.75" customHeight="1" x14ac:dyDescent="0.2">
      <c r="A41" s="158" t="s">
        <v>57</v>
      </c>
      <c r="B41" s="158"/>
      <c r="D41" s="140"/>
      <c r="E41" s="140"/>
      <c r="F41" s="140"/>
      <c r="G41" s="140"/>
      <c r="H41" s="140"/>
      <c r="I41" s="140"/>
      <c r="K41" s="140"/>
      <c r="L41" s="1">
        <v>2020</v>
      </c>
      <c r="M41" s="1">
        <v>2021</v>
      </c>
      <c r="N41" s="1">
        <v>2022</v>
      </c>
      <c r="O41" s="1">
        <v>2023</v>
      </c>
      <c r="P41" s="1">
        <v>2024</v>
      </c>
      <c r="Q41" s="1">
        <v>2025</v>
      </c>
      <c r="U41" s="27"/>
    </row>
    <row r="42" spans="1:21" ht="12.75" customHeight="1" x14ac:dyDescent="0.2">
      <c r="A42" s="158" t="s">
        <v>101</v>
      </c>
      <c r="B42" s="158"/>
      <c r="D42" s="140"/>
      <c r="E42" s="140"/>
      <c r="F42" s="140"/>
      <c r="G42" s="140"/>
      <c r="H42" s="140"/>
      <c r="I42" s="140"/>
      <c r="K42" s="140"/>
      <c r="L42" s="135">
        <v>88187.736734590508</v>
      </c>
      <c r="M42" s="135">
        <v>100819.99915587595</v>
      </c>
      <c r="N42" s="135">
        <v>113452.26157716138</v>
      </c>
      <c r="O42" s="135">
        <v>126036.70470852396</v>
      </c>
      <c r="P42" s="135">
        <v>138621.14783988654</v>
      </c>
      <c r="Q42" s="135">
        <v>151205.59097124913</v>
      </c>
      <c r="U42" s="27"/>
    </row>
    <row r="43" spans="1:21" ht="12.75" customHeight="1" x14ac:dyDescent="0.2">
      <c r="A43" s="158" t="s">
        <v>111</v>
      </c>
      <c r="B43" s="158"/>
      <c r="D43" s="140"/>
      <c r="E43" s="140"/>
      <c r="F43" s="140"/>
      <c r="G43" s="140"/>
      <c r="H43" s="140"/>
      <c r="I43" s="140"/>
      <c r="K43" s="140"/>
      <c r="L43" s="140"/>
      <c r="M43" s="164">
        <f>(M42-L42)*$C$33</f>
        <v>627.3105376252156</v>
      </c>
      <c r="N43" s="164">
        <f>(N42-M42)*$C$33</f>
        <v>627.31053762521492</v>
      </c>
      <c r="O43" s="164">
        <f>(O42-N42)*$C$33</f>
        <v>624.93586051117632</v>
      </c>
      <c r="P43" s="164">
        <f>(P42-O42)*$C$33</f>
        <v>624.93586051117632</v>
      </c>
      <c r="Q43" s="164">
        <f>(Q42-P42)*$C$33</f>
        <v>624.93586051117632</v>
      </c>
      <c r="U43" s="27"/>
    </row>
    <row r="44" spans="1:21" ht="12.75" customHeight="1" x14ac:dyDescent="0.2">
      <c r="A44" s="158"/>
      <c r="B44" s="158"/>
      <c r="D44" s="140"/>
      <c r="E44" s="140"/>
      <c r="F44" s="140"/>
      <c r="G44" s="140"/>
      <c r="H44" s="140"/>
      <c r="I44" s="140"/>
      <c r="J44" s="140"/>
      <c r="K44" s="140"/>
      <c r="L44" s="140"/>
      <c r="U44" s="27"/>
    </row>
    <row r="45" spans="1:21" ht="12.75" customHeight="1" x14ac:dyDescent="0.2">
      <c r="A45" s="158"/>
      <c r="B45" s="158"/>
      <c r="D45" s="140"/>
      <c r="E45" s="140"/>
      <c r="F45" s="140"/>
      <c r="G45" s="140"/>
      <c r="H45" s="140"/>
      <c r="I45" s="140"/>
      <c r="J45" s="140"/>
      <c r="K45" s="140"/>
      <c r="L45" s="140"/>
      <c r="U45" s="27"/>
    </row>
    <row r="46" spans="1:21" x14ac:dyDescent="0.2">
      <c r="A46" s="157" t="s">
        <v>105</v>
      </c>
      <c r="B46" s="157"/>
      <c r="D46" s="140"/>
      <c r="E46" s="140"/>
      <c r="F46" s="140"/>
      <c r="G46" s="140"/>
      <c r="H46" s="140"/>
      <c r="I46" s="140"/>
      <c r="J46" s="140"/>
      <c r="K46" s="140"/>
      <c r="L46" s="140"/>
      <c r="M46" s="136" t="s">
        <v>16</v>
      </c>
      <c r="N46" s="136" t="s">
        <v>17</v>
      </c>
      <c r="O46" s="136" t="s">
        <v>18</v>
      </c>
      <c r="P46" s="136" t="s">
        <v>19</v>
      </c>
      <c r="Q46" s="136" t="s">
        <v>20</v>
      </c>
    </row>
    <row r="47" spans="1:21" x14ac:dyDescent="0.2">
      <c r="A47" s="158" t="s">
        <v>106</v>
      </c>
      <c r="B47" s="158"/>
      <c r="D47" s="140"/>
      <c r="E47" s="140"/>
      <c r="F47" s="140"/>
      <c r="G47" s="140"/>
      <c r="H47" s="140"/>
      <c r="I47" s="140"/>
      <c r="J47" s="140"/>
      <c r="K47" s="140"/>
      <c r="L47" s="140"/>
      <c r="M47" s="147">
        <v>0.5</v>
      </c>
      <c r="N47" s="147">
        <v>0</v>
      </c>
      <c r="O47" s="147">
        <v>0</v>
      </c>
      <c r="P47" s="147">
        <v>0</v>
      </c>
      <c r="Q47" s="147">
        <v>0</v>
      </c>
    </row>
    <row r="48" spans="1:21" x14ac:dyDescent="0.2">
      <c r="A48" s="158" t="s">
        <v>107</v>
      </c>
      <c r="B48" s="158"/>
      <c r="M48" s="147">
        <v>0.1</v>
      </c>
      <c r="N48" s="147">
        <v>0.1</v>
      </c>
      <c r="O48" s="147">
        <v>0.1</v>
      </c>
      <c r="P48" s="147">
        <v>0.1</v>
      </c>
      <c r="Q48" s="147">
        <v>0.1</v>
      </c>
    </row>
    <row r="49" spans="1:21" x14ac:dyDescent="0.2">
      <c r="A49" s="158"/>
      <c r="B49" s="158"/>
      <c r="C49" s="158"/>
      <c r="D49" s="158"/>
      <c r="E49" s="158"/>
      <c r="F49" s="158"/>
      <c r="G49" s="158"/>
      <c r="H49" s="158"/>
      <c r="I49" s="158"/>
      <c r="J49" s="158"/>
      <c r="K49" s="158"/>
      <c r="L49" s="158"/>
      <c r="M49" s="158"/>
      <c r="N49" s="158"/>
      <c r="O49" s="158"/>
      <c r="P49" s="158"/>
      <c r="Q49" s="158"/>
      <c r="R49" s="158"/>
      <c r="S49" s="158"/>
      <c r="T49" s="158"/>
    </row>
    <row r="50" spans="1:21" ht="12.75" customHeight="1" x14ac:dyDescent="0.2">
      <c r="U50" s="27"/>
    </row>
    <row r="51" spans="1:21" x14ac:dyDescent="0.2">
      <c r="A51" s="2" t="s">
        <v>5</v>
      </c>
      <c r="B51" s="2"/>
      <c r="C51" s="2"/>
      <c r="D51" s="2"/>
      <c r="E51" s="2"/>
      <c r="F51" s="2"/>
      <c r="G51" s="44"/>
      <c r="H51" s="44"/>
      <c r="I51" s="2"/>
      <c r="J51" s="2"/>
      <c r="K51" s="6"/>
      <c r="L51" s="6"/>
      <c r="M51" s="6"/>
      <c r="N51" s="6"/>
      <c r="O51" s="6"/>
      <c r="P51" s="6"/>
      <c r="Q51" s="6"/>
    </row>
    <row r="52" spans="1:21" ht="12.75" customHeight="1" x14ac:dyDescent="0.2">
      <c r="U52" s="27"/>
    </row>
    <row r="53" spans="1:21" x14ac:dyDescent="0.2">
      <c r="A53" s="148"/>
      <c r="B53" s="148"/>
      <c r="C53" s="149"/>
      <c r="D53" s="149"/>
      <c r="E53" s="149"/>
      <c r="F53" s="149"/>
      <c r="G53" s="149"/>
      <c r="H53" s="149"/>
      <c r="I53" s="149"/>
      <c r="J53" s="149"/>
      <c r="K53" s="149"/>
      <c r="L53" s="149"/>
      <c r="M53" s="136" t="s">
        <v>16</v>
      </c>
      <c r="N53" s="136" t="s">
        <v>17</v>
      </c>
      <c r="O53" s="136" t="s">
        <v>18</v>
      </c>
      <c r="P53" s="136" t="s">
        <v>19</v>
      </c>
      <c r="Q53" s="136" t="s">
        <v>20</v>
      </c>
      <c r="R53" s="31"/>
      <c r="S53" s="136" t="s">
        <v>3</v>
      </c>
    </row>
    <row r="54" spans="1:21" x14ac:dyDescent="0.2">
      <c r="B54" s="133" t="s">
        <v>89</v>
      </c>
      <c r="M54" s="31"/>
      <c r="N54" s="31"/>
      <c r="O54" s="31"/>
      <c r="P54" s="31"/>
      <c r="Q54" s="31"/>
      <c r="R54" s="31"/>
      <c r="S54" s="31"/>
    </row>
    <row r="55" spans="1:21" ht="12.75" customHeight="1" x14ac:dyDescent="0.2">
      <c r="B55" s="1" t="s">
        <v>108</v>
      </c>
      <c r="M55" s="150">
        <f t="shared" ref="M55:Q56" si="0">$C$37*M47/1000</f>
        <v>117.5</v>
      </c>
      <c r="N55" s="150">
        <f t="shared" si="0"/>
        <v>0</v>
      </c>
      <c r="O55" s="150">
        <f t="shared" si="0"/>
        <v>0</v>
      </c>
      <c r="P55" s="150">
        <f t="shared" si="0"/>
        <v>0</v>
      </c>
      <c r="Q55" s="150">
        <f t="shared" si="0"/>
        <v>0</v>
      </c>
      <c r="R55" s="150"/>
      <c r="S55" s="151">
        <f>SUM(M55:Q55)</f>
        <v>117.5</v>
      </c>
      <c r="U55" s="27"/>
    </row>
    <row r="56" spans="1:21" ht="12.75" customHeight="1" x14ac:dyDescent="0.2">
      <c r="B56" s="1" t="s">
        <v>109</v>
      </c>
      <c r="M56" s="150">
        <f t="shared" si="0"/>
        <v>23.5</v>
      </c>
      <c r="N56" s="150">
        <f t="shared" si="0"/>
        <v>23.5</v>
      </c>
      <c r="O56" s="150">
        <f t="shared" si="0"/>
        <v>23.5</v>
      </c>
      <c r="P56" s="150">
        <f t="shared" si="0"/>
        <v>23.5</v>
      </c>
      <c r="Q56" s="150">
        <f t="shared" si="0"/>
        <v>23.5</v>
      </c>
      <c r="R56" s="150"/>
      <c r="S56" s="151">
        <f>SUM(M56:Q56)</f>
        <v>117.5</v>
      </c>
      <c r="U56" s="27"/>
    </row>
    <row r="57" spans="1:21" ht="12.75" customHeight="1" x14ac:dyDescent="0.2">
      <c r="B57" s="149" t="s">
        <v>110</v>
      </c>
      <c r="C57" s="149"/>
      <c r="D57" s="149"/>
      <c r="E57" s="149"/>
      <c r="F57" s="149"/>
      <c r="G57" s="149"/>
      <c r="H57" s="149"/>
      <c r="I57" s="149"/>
      <c r="J57" s="149"/>
      <c r="K57" s="149"/>
      <c r="L57" s="149"/>
      <c r="M57" s="152">
        <f>M43*$C$38/1000</f>
        <v>81.550369891278024</v>
      </c>
      <c r="N57" s="152">
        <f>N43*$C$38/1000</f>
        <v>81.550369891277938</v>
      </c>
      <c r="O57" s="152">
        <f>O43*$C$38/1000</f>
        <v>81.24166186645293</v>
      </c>
      <c r="P57" s="152">
        <f>P43*$C$38/1000</f>
        <v>81.24166186645293</v>
      </c>
      <c r="Q57" s="152">
        <f>Q43*$C$38/1000</f>
        <v>81.24166186645293</v>
      </c>
      <c r="R57" s="160"/>
      <c r="S57" s="151">
        <f>SUM(M57:Q57)</f>
        <v>406.82572538191476</v>
      </c>
    </row>
    <row r="58" spans="1:21" ht="12.75" customHeight="1" x14ac:dyDescent="0.2">
      <c r="B58" s="4" t="s">
        <v>112</v>
      </c>
      <c r="C58" s="4"/>
      <c r="D58" s="4"/>
      <c r="E58" s="4"/>
      <c r="F58" s="4"/>
      <c r="G58" s="4"/>
      <c r="H58" s="4"/>
      <c r="I58" s="4"/>
      <c r="J58" s="4"/>
      <c r="K58" s="4"/>
      <c r="L58" s="4"/>
      <c r="M58" s="153">
        <f t="shared" ref="M58:Q58" si="1">SUM(M55:M57)</f>
        <v>222.55036989127802</v>
      </c>
      <c r="N58" s="153">
        <f t="shared" si="1"/>
        <v>105.05036989127794</v>
      </c>
      <c r="O58" s="153">
        <f t="shared" si="1"/>
        <v>104.74166186645293</v>
      </c>
      <c r="P58" s="153">
        <f t="shared" si="1"/>
        <v>104.74166186645293</v>
      </c>
      <c r="Q58" s="153">
        <f t="shared" si="1"/>
        <v>104.74166186645293</v>
      </c>
      <c r="R58" s="153"/>
      <c r="S58" s="154">
        <f>SUM(S55:S57)</f>
        <v>641.82572538191471</v>
      </c>
    </row>
    <row r="60" spans="1:21" x14ac:dyDescent="0.2">
      <c r="B60" s="149"/>
      <c r="C60" s="149"/>
      <c r="D60" s="149"/>
      <c r="E60" s="149"/>
      <c r="F60" s="149"/>
      <c r="G60" s="149"/>
      <c r="H60" s="149"/>
      <c r="I60" s="149"/>
      <c r="J60" s="149"/>
      <c r="K60" s="149"/>
      <c r="L60" s="149"/>
      <c r="M60" s="152"/>
      <c r="N60" s="152"/>
      <c r="O60" s="152"/>
      <c r="P60" s="152"/>
      <c r="Q60" s="152"/>
      <c r="R60" s="160"/>
      <c r="S60" s="151"/>
    </row>
    <row r="61" spans="1:21" x14ac:dyDescent="0.2">
      <c r="B61" s="4" t="s">
        <v>88</v>
      </c>
      <c r="C61" s="4"/>
      <c r="D61" s="4"/>
      <c r="E61" s="4"/>
      <c r="F61" s="4"/>
      <c r="G61" s="4"/>
      <c r="H61" s="4"/>
      <c r="I61" s="4"/>
      <c r="J61" s="4"/>
      <c r="K61" s="4"/>
      <c r="L61" s="4"/>
      <c r="M61" s="153">
        <f>M$19*$C$15/1000</f>
        <v>645</v>
      </c>
      <c r="N61" s="153">
        <f t="shared" ref="N61:Q61" si="2">N$19*$C$15/1000</f>
        <v>627</v>
      </c>
      <c r="O61" s="153">
        <f t="shared" si="2"/>
        <v>652.5</v>
      </c>
      <c r="P61" s="153">
        <f t="shared" si="2"/>
        <v>607.5</v>
      </c>
      <c r="Q61" s="153">
        <f t="shared" si="2"/>
        <v>634.5</v>
      </c>
      <c r="R61" s="153"/>
      <c r="S61" s="154">
        <f>SUM(M61:Q61)</f>
        <v>3166.5</v>
      </c>
    </row>
    <row r="62" spans="1:21" ht="12.75" customHeight="1" x14ac:dyDescent="0.2">
      <c r="M62" s="155"/>
      <c r="N62" s="155"/>
      <c r="O62" s="155"/>
      <c r="P62" s="155"/>
      <c r="Q62" s="155"/>
      <c r="R62" s="155"/>
      <c r="S62" s="156"/>
    </row>
    <row r="63" spans="1:21" ht="12.75" customHeight="1" x14ac:dyDescent="0.2">
      <c r="B63" s="175" t="s">
        <v>117</v>
      </c>
      <c r="C63" s="149"/>
      <c r="D63" s="149"/>
      <c r="E63" s="149"/>
      <c r="F63" s="149"/>
      <c r="G63" s="184">
        <f>C12</f>
        <v>2019</v>
      </c>
      <c r="M63" s="150">
        <f>SUM(M58:M61)</f>
        <v>867.55036989127802</v>
      </c>
      <c r="N63" s="150">
        <f t="shared" ref="N63:Q63" si="3">SUM(N58:N61)</f>
        <v>732.05036989127791</v>
      </c>
      <c r="O63" s="150">
        <f t="shared" si="3"/>
        <v>757.24166186645289</v>
      </c>
      <c r="P63" s="150">
        <f t="shared" si="3"/>
        <v>712.24166186645289</v>
      </c>
      <c r="Q63" s="150">
        <f t="shared" si="3"/>
        <v>739.24166186645289</v>
      </c>
      <c r="R63" s="155"/>
      <c r="S63" s="150">
        <f>SUM(M63:Q63)</f>
        <v>3808.3257253819147</v>
      </c>
    </row>
    <row r="64" spans="1:21" ht="12.75" customHeight="1" x14ac:dyDescent="0.2">
      <c r="A64" s="4"/>
      <c r="B64" s="59" t="str">
        <f>"Total: "&amp;$A$1&amp;" "&amp;$A$2</f>
        <v>Total: United Energy Solar enablement</v>
      </c>
      <c r="C64" s="59"/>
      <c r="D64" s="59"/>
      <c r="E64" s="59"/>
      <c r="F64" s="59"/>
      <c r="G64" s="63" t="str">
        <f>"$k"&amp;" $"&amp;Year_of_Currency</f>
        <v>$k $2020/21</v>
      </c>
      <c r="H64" s="61"/>
      <c r="I64" s="59"/>
      <c r="J64" s="59"/>
      <c r="K64" s="59"/>
      <c r="L64" s="59"/>
      <c r="M64" s="62">
        <f>SUM(M58:M61)*INDEX(Assumptions!$G$16:$M$16, MATCH($G63, Assumptions!$G$14:$M$14,0))</f>
        <v>887.79370690087114</v>
      </c>
      <c r="N64" s="62">
        <f>SUM(N58:N61)*INDEX(Assumptions!$G$16:$M$16, MATCH($G63, Assumptions!$G$14:$M$14,0))</f>
        <v>749.13196291458974</v>
      </c>
      <c r="O64" s="62">
        <f>SUM(O58:O61)*INDEX(Assumptions!$G$16:$M$16, MATCH($G63, Assumptions!$G$14:$M$14,0))</f>
        <v>774.91106607728625</v>
      </c>
      <c r="P64" s="62">
        <f>SUM(P58:P61)*INDEX(Assumptions!$G$16:$M$16, MATCH($G63, Assumptions!$G$14:$M$14,0))</f>
        <v>728.86104039918541</v>
      </c>
      <c r="Q64" s="62">
        <f>SUM(Q58:Q61)*INDEX(Assumptions!$G$16:$M$16, MATCH($G63, Assumptions!$G$14:$M$14,0))</f>
        <v>756.49105580604589</v>
      </c>
      <c r="R64" s="161"/>
      <c r="S64" s="62">
        <f>SUM(M64:Q64)</f>
        <v>3897.1888320979783</v>
      </c>
    </row>
    <row r="65" spans="2:21" ht="12.75" customHeight="1" x14ac:dyDescent="0.2">
      <c r="G65" s="52"/>
      <c r="H65" s="52"/>
      <c r="M65" s="8"/>
      <c r="N65" s="8"/>
      <c r="O65" s="8"/>
      <c r="P65" s="8"/>
      <c r="Q65" s="8"/>
      <c r="R65" s="8"/>
      <c r="S65" s="8"/>
    </row>
    <row r="66" spans="2:21" ht="12.75" customHeight="1" x14ac:dyDescent="0.2">
      <c r="B66" s="4" t="s">
        <v>45</v>
      </c>
      <c r="G66" s="52"/>
      <c r="H66" s="52"/>
      <c r="M66" s="33"/>
      <c r="N66" s="33"/>
      <c r="O66" s="33"/>
      <c r="P66" s="33"/>
      <c r="Q66" s="33"/>
      <c r="R66" s="33"/>
      <c r="S66" s="33"/>
      <c r="U66" s="33"/>
    </row>
    <row r="67" spans="2:21" ht="12.75" customHeight="1" thickBot="1" x14ac:dyDescent="0.25">
      <c r="B67" s="78" t="str">
        <f>"Total"&amp;" "&amp;$A$2</f>
        <v>Total Solar enablement</v>
      </c>
      <c r="C67" s="79"/>
      <c r="D67" s="78"/>
      <c r="E67" s="78"/>
      <c r="F67" s="78"/>
      <c r="G67" s="80" t="s">
        <v>124</v>
      </c>
      <c r="H67" s="81"/>
      <c r="I67" s="78"/>
      <c r="J67" s="78"/>
      <c r="K67" s="78"/>
      <c r="L67" s="78"/>
      <c r="M67" s="83">
        <f>M64*Assumptions!N30</f>
        <v>891.8732834194883</v>
      </c>
      <c r="N67" s="83">
        <f>N64*Assumptions!O30</f>
        <v>754.78456023919023</v>
      </c>
      <c r="O67" s="83">
        <f>O64*Assumptions!P30</f>
        <v>783.76835138728563</v>
      </c>
      <c r="P67" s="83">
        <f>P64*Assumptions!Q30</f>
        <v>741.52762325637173</v>
      </c>
      <c r="Q67" s="83">
        <f>Q64*Assumptions!R30</f>
        <v>775.59530717493647</v>
      </c>
      <c r="R67" s="162"/>
      <c r="S67" s="83">
        <f>SUM(M67:Q67)</f>
        <v>3947.5491254772724</v>
      </c>
      <c r="U67" s="33"/>
    </row>
    <row r="68" spans="2:21" ht="12.75" customHeight="1" thickTop="1" x14ac:dyDescent="0.2"/>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Y21"/>
  <sheetViews>
    <sheetView showGridLines="0" zoomScale="80" zoomScaleNormal="80" workbookViewId="0">
      <pane xSplit="2" ySplit="2" topLeftCell="C3" activePane="bottomRight" state="frozen"/>
      <selection activeCell="K47" sqref="K47"/>
      <selection pane="topRight" activeCell="K47" sqref="K47"/>
      <selection pane="bottomLeft" activeCell="K47" sqref="K47"/>
      <selection pane="bottomRight"/>
    </sheetView>
  </sheetViews>
  <sheetFormatPr defaultColWidth="9" defaultRowHeight="12.75" x14ac:dyDescent="0.2"/>
  <cols>
    <col min="1" max="1" width="2" style="1" customWidth="1"/>
    <col min="2" max="2" width="43.125" style="1" customWidth="1"/>
    <col min="3" max="3" width="17.5" style="1" customWidth="1"/>
    <col min="4" max="4" width="14.25" style="1" customWidth="1"/>
    <col min="5" max="5" width="15.5" style="1" customWidth="1"/>
    <col min="6" max="6" width="1.75" style="1" customWidth="1"/>
    <col min="7" max="7" width="11.75" style="52" customWidth="1"/>
    <col min="8" max="8" width="17" style="52" customWidth="1"/>
    <col min="9" max="9" width="6.125" style="1" customWidth="1"/>
    <col min="10" max="10" width="9.625" style="1" customWidth="1"/>
    <col min="11" max="12" width="6.125" style="1" customWidth="1"/>
    <col min="13" max="16" width="9" style="1"/>
    <col min="17" max="17" width="9" style="1" customWidth="1"/>
    <col min="18" max="18" width="2.625" style="1" customWidth="1"/>
    <col min="19" max="16384" width="9" style="1"/>
  </cols>
  <sheetData>
    <row r="1" spans="1:25" ht="21" x14ac:dyDescent="0.35">
      <c r="A1" s="3" t="s">
        <v>28</v>
      </c>
      <c r="G1" s="192" t="s">
        <v>121</v>
      </c>
      <c r="H1" s="176" t="s">
        <v>122</v>
      </c>
    </row>
    <row r="2" spans="1:25" ht="18.75" x14ac:dyDescent="0.3">
      <c r="A2" s="7" t="str">
        <f ca="1">RIGHT(CELL("filename",A1),LEN(CELL("filename",A1))-FIND("]",CELL("filename",A1),1))</f>
        <v>IT cloud solutions</v>
      </c>
    </row>
    <row r="3" spans="1:25" x14ac:dyDescent="0.2">
      <c r="A3" s="1" t="s">
        <v>23</v>
      </c>
    </row>
    <row r="5" spans="1:25" x14ac:dyDescent="0.2">
      <c r="A5" s="2" t="s">
        <v>47</v>
      </c>
      <c r="B5" s="2"/>
      <c r="C5" s="2"/>
      <c r="D5" s="2"/>
      <c r="E5" s="2"/>
      <c r="F5" s="2"/>
      <c r="G5" s="44"/>
      <c r="H5" s="44"/>
      <c r="I5" s="2"/>
      <c r="J5" s="2"/>
      <c r="K5" s="6"/>
      <c r="L5" s="6"/>
      <c r="M5" s="6"/>
      <c r="N5" s="6"/>
      <c r="O5" s="6"/>
      <c r="P5" s="6"/>
      <c r="Q5" s="6"/>
    </row>
    <row r="6" spans="1:25" x14ac:dyDescent="0.2">
      <c r="B6" s="232"/>
      <c r="C6" s="232"/>
      <c r="D6" s="232"/>
      <c r="E6" s="232"/>
      <c r="F6" s="232"/>
      <c r="G6" s="232"/>
      <c r="H6" s="232"/>
    </row>
    <row r="7" spans="1:25" x14ac:dyDescent="0.2">
      <c r="B7" s="50"/>
      <c r="C7" s="50"/>
      <c r="D7" s="50"/>
      <c r="E7" s="50"/>
      <c r="F7" s="50"/>
      <c r="G7" s="50"/>
      <c r="H7" s="50"/>
    </row>
    <row r="9" spans="1:25" x14ac:dyDescent="0.2">
      <c r="B9" s="4" t="s">
        <v>35</v>
      </c>
    </row>
    <row r="10" spans="1:25" x14ac:dyDescent="0.2">
      <c r="B10" s="1" t="s">
        <v>36</v>
      </c>
    </row>
    <row r="11" spans="1:25" x14ac:dyDescent="0.2">
      <c r="B11" s="1" t="s">
        <v>59</v>
      </c>
    </row>
    <row r="12" spans="1:25" x14ac:dyDescent="0.2">
      <c r="B12" s="95" t="s">
        <v>58</v>
      </c>
    </row>
    <row r="14" spans="1:25" x14ac:dyDescent="0.2">
      <c r="A14" s="2" t="s">
        <v>43</v>
      </c>
      <c r="B14" s="2"/>
      <c r="C14" s="2"/>
      <c r="D14" s="2"/>
      <c r="E14" s="2"/>
      <c r="F14" s="2"/>
      <c r="G14" s="44"/>
      <c r="H14" s="44"/>
      <c r="I14" s="2"/>
      <c r="J14" s="2"/>
      <c r="K14" s="6">
        <v>2019</v>
      </c>
      <c r="L14" s="6">
        <v>2020</v>
      </c>
      <c r="M14" s="6" t="s">
        <v>16</v>
      </c>
      <c r="N14" s="6" t="s">
        <v>17</v>
      </c>
      <c r="O14" s="6" t="s">
        <v>18</v>
      </c>
      <c r="P14" s="6" t="s">
        <v>19</v>
      </c>
      <c r="Q14" s="6" t="s">
        <v>20</v>
      </c>
      <c r="S14" s="6" t="s">
        <v>44</v>
      </c>
    </row>
    <row r="15" spans="1:25" x14ac:dyDescent="0.2">
      <c r="A15" s="10"/>
      <c r="B15" s="10"/>
      <c r="C15" s="10"/>
      <c r="D15" s="10"/>
      <c r="E15" s="10"/>
      <c r="F15" s="10"/>
      <c r="G15" s="65"/>
      <c r="H15" s="53"/>
      <c r="I15" s="11"/>
      <c r="J15" s="10"/>
      <c r="K15" s="10"/>
      <c r="L15" s="10"/>
      <c r="S15" s="58"/>
      <c r="T15" s="12"/>
      <c r="U15" s="12"/>
      <c r="V15" s="12"/>
      <c r="W15" s="12"/>
      <c r="X15" s="12"/>
      <c r="Y15" s="12"/>
    </row>
    <row r="16" spans="1:25" x14ac:dyDescent="0.2">
      <c r="G16" s="64"/>
      <c r="M16" s="8"/>
      <c r="N16" s="8"/>
      <c r="O16" s="8"/>
      <c r="P16" s="8"/>
      <c r="Q16" s="8"/>
    </row>
    <row r="17" spans="2:23" x14ac:dyDescent="0.2">
      <c r="B17" s="59" t="str">
        <f ca="1">"Total: "&amp;$A$1&amp;" "&amp;$A$2</f>
        <v>Total: United Energy IT cloud solutions</v>
      </c>
      <c r="C17" s="163" t="s">
        <v>64</v>
      </c>
      <c r="D17" s="59"/>
      <c r="E17" s="59"/>
      <c r="F17" s="59"/>
      <c r="G17" s="63" t="str">
        <f>"$k"&amp;" $"&amp;Year_of_Currency</f>
        <v>$k $2020/21</v>
      </c>
      <c r="H17" s="61"/>
      <c r="I17" s="59"/>
      <c r="J17" s="59"/>
      <c r="K17" s="59"/>
      <c r="L17" s="62"/>
      <c r="M17" s="196">
        <v>685.24325853371022</v>
      </c>
      <c r="N17" s="196">
        <v>675.44651103625199</v>
      </c>
      <c r="O17" s="196">
        <v>957.1070442244262</v>
      </c>
      <c r="P17" s="196">
        <v>1087.4344637341137</v>
      </c>
      <c r="Q17" s="196">
        <v>1072.7691868620498</v>
      </c>
      <c r="S17" s="180">
        <f>SUM(M17:Q17)</f>
        <v>4478.0004643905522</v>
      </c>
    </row>
    <row r="18" spans="2:23" x14ac:dyDescent="0.2">
      <c r="S18" s="33"/>
    </row>
    <row r="19" spans="2:23" x14ac:dyDescent="0.2">
      <c r="B19" s="4" t="s">
        <v>45</v>
      </c>
      <c r="J19" s="33"/>
      <c r="K19" s="33"/>
      <c r="L19" s="33"/>
      <c r="M19" s="33"/>
      <c r="N19" s="33"/>
      <c r="O19" s="33"/>
      <c r="P19" s="33"/>
      <c r="Q19" s="33"/>
      <c r="R19" s="45"/>
      <c r="S19" s="33"/>
      <c r="T19" s="33"/>
      <c r="U19" s="33"/>
      <c r="V19" s="33"/>
      <c r="W19" s="33"/>
    </row>
    <row r="20" spans="2:23" ht="13.5" thickBot="1" x14ac:dyDescent="0.25">
      <c r="B20" s="78" t="str">
        <f ca="1">"Total"&amp;" "&amp;$A$2</f>
        <v>Total IT cloud solutions</v>
      </c>
      <c r="C20" s="79"/>
      <c r="D20" s="78"/>
      <c r="E20" s="78"/>
      <c r="F20" s="78"/>
      <c r="G20" s="80" t="s">
        <v>124</v>
      </c>
      <c r="H20" s="81"/>
      <c r="I20" s="78"/>
      <c r="J20" s="82"/>
      <c r="K20" s="82"/>
      <c r="L20" s="83"/>
      <c r="M20" s="83">
        <f>M17*Assumptions!N$30</f>
        <v>688.39207822608387</v>
      </c>
      <c r="N20" s="83">
        <f>N17*Assumptions!O$30</f>
        <v>680.54311261007854</v>
      </c>
      <c r="O20" s="83">
        <f>O17*Assumptions!P$30</f>
        <v>968.04684174960494</v>
      </c>
      <c r="P20" s="83">
        <f>P17*Assumptions!Q$30</f>
        <v>1106.332549889335</v>
      </c>
      <c r="Q20" s="83">
        <f>Q17*Assumptions!R$30</f>
        <v>1099.860653508375</v>
      </c>
      <c r="R20" s="45"/>
      <c r="S20" s="83">
        <f>SUM(M20:Q20)</f>
        <v>4543.1752359834773</v>
      </c>
      <c r="T20" s="33"/>
      <c r="U20" s="33"/>
      <c r="V20" s="33"/>
      <c r="W20" s="33"/>
    </row>
    <row r="21" spans="2:23" ht="13.5" thickTop="1" x14ac:dyDescent="0.2">
      <c r="H21" s="1"/>
      <c r="K21" s="34"/>
      <c r="L21" s="34"/>
      <c r="M21" s="33"/>
      <c r="N21" s="33"/>
      <c r="O21" s="33"/>
      <c r="P21" s="33"/>
      <c r="Q21" s="31"/>
      <c r="R21" s="45"/>
      <c r="S21" s="33"/>
    </row>
  </sheetData>
  <mergeCells count="1">
    <mergeCell ref="B6:H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FF00"/>
  </sheetPr>
  <dimension ref="A1:T39"/>
  <sheetViews>
    <sheetView showGridLines="0" zoomScale="80" zoomScaleNormal="80" workbookViewId="0">
      <pane xSplit="2" ySplit="2" topLeftCell="C3" activePane="bottomRight" state="frozen"/>
      <selection activeCell="K47" sqref="K47"/>
      <selection pane="topRight" activeCell="K47" sqref="K47"/>
      <selection pane="bottomLeft" activeCell="K47" sqref="K47"/>
      <selection pane="bottomRight"/>
    </sheetView>
  </sheetViews>
  <sheetFormatPr defaultColWidth="9" defaultRowHeight="12.75" x14ac:dyDescent="0.2"/>
  <cols>
    <col min="1" max="1" width="2" style="37" customWidth="1"/>
    <col min="2" max="2" width="43.125" style="37" customWidth="1"/>
    <col min="3" max="3" width="17.5" style="37" customWidth="1"/>
    <col min="4" max="4" width="14.25" style="37" customWidth="1"/>
    <col min="5" max="5" width="15.5" style="37" customWidth="1"/>
    <col min="6" max="6" width="1.75" style="37" customWidth="1"/>
    <col min="7" max="7" width="11.75" style="66" customWidth="1"/>
    <col min="8" max="8" width="17" style="66" customWidth="1"/>
    <col min="9" max="9" width="6.125" style="37" customWidth="1"/>
    <col min="10" max="10" width="9.625" style="37" customWidth="1"/>
    <col min="11" max="11" width="10.875" style="37" customWidth="1"/>
    <col min="12" max="17" width="11.75" style="37" customWidth="1"/>
    <col min="18" max="18" width="2.5" style="37" customWidth="1"/>
    <col min="19" max="19" width="11.125" style="37" customWidth="1"/>
    <col min="20" max="16384" width="9" style="37"/>
  </cols>
  <sheetData>
    <row r="1" spans="1:18" ht="21" x14ac:dyDescent="0.35">
      <c r="A1" s="36" t="s">
        <v>28</v>
      </c>
      <c r="H1" s="192" t="s">
        <v>121</v>
      </c>
      <c r="I1" s="176" t="s">
        <v>122</v>
      </c>
    </row>
    <row r="2" spans="1:18" ht="18.75" x14ac:dyDescent="0.3">
      <c r="A2" s="38" t="str">
        <f ca="1">RIGHT(CELL("filename",A1),LEN(CELL("filename",A1))-FIND("]",CELL("filename",A1),1))</f>
        <v>Increasing insurance premiums</v>
      </c>
      <c r="J2" s="39"/>
      <c r="K2" s="39"/>
      <c r="L2" s="39"/>
      <c r="M2" s="39"/>
      <c r="N2" s="39"/>
      <c r="O2" s="39"/>
      <c r="P2" s="39"/>
      <c r="Q2" s="39"/>
    </row>
    <row r="5" spans="1:18" s="27" customFormat="1" x14ac:dyDescent="0.2">
      <c r="A5" s="2" t="s">
        <v>12</v>
      </c>
      <c r="B5" s="2"/>
      <c r="C5" s="2"/>
      <c r="D5" s="2"/>
      <c r="E5" s="2"/>
      <c r="F5" s="2"/>
      <c r="G5" s="44"/>
      <c r="H5" s="44"/>
      <c r="I5" s="2"/>
      <c r="J5" s="2"/>
      <c r="K5" s="6"/>
      <c r="L5" s="6"/>
      <c r="M5" s="6"/>
      <c r="N5" s="6"/>
      <c r="O5" s="6"/>
      <c r="P5" s="6"/>
      <c r="Q5" s="6"/>
      <c r="R5" s="37"/>
    </row>
    <row r="6" spans="1:18" x14ac:dyDescent="0.2">
      <c r="B6" s="43"/>
      <c r="N6" s="40"/>
      <c r="O6" s="40"/>
      <c r="P6" s="40"/>
      <c r="Q6" s="40"/>
    </row>
    <row r="8" spans="1:18" x14ac:dyDescent="0.2">
      <c r="B8" s="4" t="s">
        <v>35</v>
      </c>
    </row>
    <row r="9" spans="1:18" x14ac:dyDescent="0.2">
      <c r="B9" s="27" t="s">
        <v>40</v>
      </c>
      <c r="C9" s="49"/>
      <c r="D9" s="49"/>
      <c r="E9" s="49"/>
      <c r="F9" s="49"/>
      <c r="G9" s="67"/>
      <c r="H9" s="67"/>
      <c r="I9" s="49"/>
    </row>
    <row r="10" spans="1:18" x14ac:dyDescent="0.2">
      <c r="B10" s="48" t="s">
        <v>41</v>
      </c>
      <c r="C10" s="49"/>
      <c r="D10" s="49"/>
      <c r="E10" s="49"/>
      <c r="F10" s="49"/>
      <c r="G10" s="67"/>
      <c r="H10" s="67"/>
      <c r="I10" s="49"/>
    </row>
    <row r="11" spans="1:18" x14ac:dyDescent="0.2">
      <c r="B11" s="95" t="s">
        <v>58</v>
      </c>
      <c r="C11" s="49"/>
      <c r="D11" s="49"/>
      <c r="E11" s="49"/>
      <c r="F11" s="49"/>
      <c r="G11" s="67"/>
      <c r="H11" s="67"/>
      <c r="I11" s="49"/>
    </row>
    <row r="12" spans="1:18" x14ac:dyDescent="0.2">
      <c r="B12" s="49"/>
      <c r="C12" s="49"/>
      <c r="D12" s="49"/>
      <c r="E12" s="49"/>
      <c r="F12" s="49"/>
      <c r="G12" s="67"/>
      <c r="H12" s="67"/>
      <c r="I12" s="49"/>
    </row>
    <row r="13" spans="1:18" s="27" customFormat="1" x14ac:dyDescent="0.2">
      <c r="A13" s="2" t="s">
        <v>21</v>
      </c>
      <c r="B13" s="2"/>
      <c r="C13" s="2"/>
      <c r="D13" s="2"/>
      <c r="E13" s="2"/>
      <c r="F13" s="2"/>
      <c r="G13" s="44"/>
      <c r="H13" s="44" t="s">
        <v>34</v>
      </c>
      <c r="I13" s="2"/>
      <c r="J13" s="2" t="s">
        <v>32</v>
      </c>
      <c r="K13" s="6" t="s">
        <v>14</v>
      </c>
      <c r="L13" s="6" t="s">
        <v>15</v>
      </c>
      <c r="M13" s="6" t="s">
        <v>16</v>
      </c>
      <c r="N13" s="6" t="s">
        <v>17</v>
      </c>
      <c r="O13" s="6" t="s">
        <v>18</v>
      </c>
      <c r="P13" s="6" t="s">
        <v>19</v>
      </c>
      <c r="Q13" s="6" t="s">
        <v>20</v>
      </c>
      <c r="R13" s="37"/>
    </row>
    <row r="14" spans="1:18" x14ac:dyDescent="0.2">
      <c r="B14" s="49"/>
      <c r="C14" s="49"/>
      <c r="D14" s="49"/>
      <c r="E14" s="49"/>
      <c r="F14" s="49"/>
      <c r="G14" s="67"/>
      <c r="H14" s="67"/>
      <c r="I14" s="49"/>
    </row>
    <row r="15" spans="1:18" s="1" customFormat="1" x14ac:dyDescent="0.2">
      <c r="H15" s="52"/>
      <c r="M15" s="8"/>
      <c r="N15" s="8"/>
      <c r="O15" s="8"/>
      <c r="P15" s="8"/>
      <c r="Q15" s="8"/>
      <c r="R15" s="37"/>
    </row>
    <row r="16" spans="1:18" x14ac:dyDescent="0.2">
      <c r="B16" s="68"/>
      <c r="J16" s="42"/>
      <c r="K16" s="42"/>
      <c r="L16" s="42"/>
      <c r="M16" s="42"/>
      <c r="N16" s="42"/>
      <c r="O16" s="42"/>
      <c r="P16" s="42"/>
      <c r="Q16" s="42"/>
    </row>
    <row r="17" spans="1:20" x14ac:dyDescent="0.2">
      <c r="B17" s="37" t="s">
        <v>63</v>
      </c>
      <c r="G17" s="69" t="s">
        <v>62</v>
      </c>
      <c r="H17" s="69" t="s">
        <v>48</v>
      </c>
      <c r="J17" s="70">
        <v>1820.2</v>
      </c>
      <c r="K17" s="229">
        <v>2380.6889999999999</v>
      </c>
      <c r="L17" s="42"/>
      <c r="M17" s="165"/>
      <c r="N17" s="42"/>
      <c r="O17" s="42"/>
      <c r="P17" s="42"/>
      <c r="Q17" s="42"/>
    </row>
    <row r="18" spans="1:20" x14ac:dyDescent="0.2">
      <c r="B18" s="37" t="s">
        <v>63</v>
      </c>
      <c r="G18" s="69" t="s">
        <v>50</v>
      </c>
      <c r="H18" s="37"/>
      <c r="J18" s="71">
        <f>J17*Assumptions!K$16</f>
        <v>1862.6723719839795</v>
      </c>
      <c r="K18" s="71">
        <f>K17*Assumptions!L$16</f>
        <v>2399.1768955834136</v>
      </c>
      <c r="O18" s="42"/>
      <c r="P18" s="42"/>
      <c r="Q18" s="42"/>
    </row>
    <row r="19" spans="1:20" x14ac:dyDescent="0.2">
      <c r="B19" s="37" t="s">
        <v>115</v>
      </c>
      <c r="G19" s="69"/>
      <c r="H19" s="69"/>
      <c r="K19" s="41">
        <f>J18*0.75+K18*0.25</f>
        <v>1996.798502883838</v>
      </c>
      <c r="M19" s="166"/>
      <c r="N19" s="41"/>
      <c r="O19" s="41"/>
      <c r="P19" s="41"/>
      <c r="Q19" s="41"/>
    </row>
    <row r="20" spans="1:20" x14ac:dyDescent="0.2">
      <c r="B20" s="68"/>
      <c r="G20" s="37"/>
      <c r="J20" s="42"/>
      <c r="K20" s="42"/>
      <c r="L20" s="42"/>
      <c r="M20" s="42"/>
      <c r="N20" s="42"/>
      <c r="O20" s="42"/>
      <c r="P20" s="42"/>
      <c r="Q20" s="42"/>
      <c r="R20" s="42"/>
      <c r="S20" s="42"/>
    </row>
    <row r="21" spans="1:20" x14ac:dyDescent="0.2">
      <c r="B21" s="37" t="s">
        <v>42</v>
      </c>
      <c r="G21" s="69" t="s">
        <v>50</v>
      </c>
      <c r="H21" s="69" t="s">
        <v>48</v>
      </c>
      <c r="L21" s="230">
        <v>4347.3334400000003</v>
      </c>
      <c r="M21" s="230">
        <v>4347.3334400000003</v>
      </c>
      <c r="N21" s="230">
        <v>4347.3334400000003</v>
      </c>
      <c r="O21" s="230">
        <v>4347.3334400000003</v>
      </c>
      <c r="P21" s="230">
        <v>4347.3334400000003</v>
      </c>
      <c r="Q21" s="230">
        <v>4347.3334400000003</v>
      </c>
    </row>
    <row r="22" spans="1:20" x14ac:dyDescent="0.2">
      <c r="G22" s="69" t="s">
        <v>50</v>
      </c>
      <c r="H22" s="69" t="s">
        <v>114</v>
      </c>
      <c r="L22" s="41"/>
      <c r="M22" s="167">
        <f>L21*0.75+M21*0.25</f>
        <v>4347.3334400000003</v>
      </c>
      <c r="N22" s="167">
        <f>M21*0.75+N21*0.25</f>
        <v>4347.3334400000003</v>
      </c>
      <c r="O22" s="167">
        <f>N21*0.75+O21*0.25</f>
        <v>4347.3334400000003</v>
      </c>
      <c r="P22" s="167">
        <f>O21*0.75+P21*0.25</f>
        <v>4347.3334400000003</v>
      </c>
      <c r="Q22" s="167">
        <f>P21*0.75+Q21*0.25</f>
        <v>4347.3334400000003</v>
      </c>
    </row>
    <row r="24" spans="1:20" x14ac:dyDescent="0.2">
      <c r="G24" s="69"/>
      <c r="H24" s="69"/>
      <c r="J24" s="41"/>
      <c r="N24" s="41"/>
      <c r="O24" s="41"/>
      <c r="P24" s="41"/>
      <c r="Q24" s="41"/>
    </row>
    <row r="25" spans="1:20" x14ac:dyDescent="0.2">
      <c r="A25" s="2" t="s">
        <v>5</v>
      </c>
      <c r="B25" s="2"/>
      <c r="C25" s="2"/>
      <c r="D25" s="2"/>
      <c r="E25" s="2"/>
      <c r="F25" s="2"/>
      <c r="G25" s="44"/>
      <c r="H25" s="44"/>
      <c r="I25" s="2"/>
      <c r="J25" s="2" t="s">
        <v>32</v>
      </c>
      <c r="K25" s="6" t="s">
        <v>14</v>
      </c>
      <c r="L25" s="6" t="s">
        <v>15</v>
      </c>
      <c r="M25" s="6" t="s">
        <v>16</v>
      </c>
      <c r="N25" s="6" t="s">
        <v>17</v>
      </c>
      <c r="O25" s="6" t="s">
        <v>18</v>
      </c>
      <c r="P25" s="6" t="s">
        <v>19</v>
      </c>
      <c r="Q25" s="6" t="s">
        <v>20</v>
      </c>
    </row>
    <row r="26" spans="1:20" x14ac:dyDescent="0.2">
      <c r="H26" s="69"/>
      <c r="J26" s="41"/>
      <c r="N26" s="41"/>
      <c r="O26" s="41"/>
      <c r="P26" s="41"/>
      <c r="Q26" s="41"/>
    </row>
    <row r="27" spans="1:20" x14ac:dyDescent="0.2">
      <c r="B27" s="37" t="s">
        <v>42</v>
      </c>
      <c r="G27" s="69" t="s">
        <v>50</v>
      </c>
      <c r="H27" s="69"/>
      <c r="J27" s="41"/>
      <c r="L27" s="71"/>
      <c r="M27" s="167">
        <f>M22</f>
        <v>4347.3334400000003</v>
      </c>
      <c r="N27" s="167">
        <f>N21</f>
        <v>4347.3334400000003</v>
      </c>
      <c r="O27" s="167">
        <f>O21</f>
        <v>4347.3334400000003</v>
      </c>
      <c r="P27" s="167">
        <f>P21</f>
        <v>4347.3334400000003</v>
      </c>
      <c r="Q27" s="167">
        <f>Q21</f>
        <v>4347.3334400000003</v>
      </c>
    </row>
    <row r="28" spans="1:20" x14ac:dyDescent="0.2">
      <c r="B28" s="72" t="s">
        <v>49</v>
      </c>
      <c r="G28" s="69" t="s">
        <v>50</v>
      </c>
      <c r="L28" s="29"/>
      <c r="M28" s="167">
        <f>$K$19</f>
        <v>1996.798502883838</v>
      </c>
      <c r="N28" s="167">
        <f>$K$19</f>
        <v>1996.798502883838</v>
      </c>
      <c r="O28" s="167">
        <f>$K$19</f>
        <v>1996.798502883838</v>
      </c>
      <c r="P28" s="167">
        <f>$K$19</f>
        <v>1996.798502883838</v>
      </c>
      <c r="Q28" s="167">
        <f>$K$19</f>
        <v>1996.798502883838</v>
      </c>
    </row>
    <row r="29" spans="1:20" x14ac:dyDescent="0.2">
      <c r="B29" s="37" t="s">
        <v>46</v>
      </c>
      <c r="G29" s="69" t="s">
        <v>50</v>
      </c>
      <c r="L29" s="29"/>
      <c r="M29" s="167">
        <f t="shared" ref="M29:Q29" si="0">M27-M28</f>
        <v>2350.5349371161624</v>
      </c>
      <c r="N29" s="167">
        <f t="shared" si="0"/>
        <v>2350.5349371161624</v>
      </c>
      <c r="O29" s="167">
        <f t="shared" si="0"/>
        <v>2350.5349371161624</v>
      </c>
      <c r="P29" s="167">
        <f t="shared" si="0"/>
        <v>2350.5349371161624</v>
      </c>
      <c r="Q29" s="167">
        <f t="shared" si="0"/>
        <v>2350.5349371161624</v>
      </c>
    </row>
    <row r="32" spans="1:20" x14ac:dyDescent="0.2">
      <c r="A32" s="2" t="s">
        <v>43</v>
      </c>
      <c r="B32" s="2"/>
      <c r="C32" s="2"/>
      <c r="D32" s="2"/>
      <c r="E32" s="2"/>
      <c r="F32" s="2"/>
      <c r="G32" s="44"/>
      <c r="H32" s="44"/>
      <c r="I32" s="2"/>
      <c r="J32" s="2" t="s">
        <v>32</v>
      </c>
      <c r="K32" s="6" t="s">
        <v>14</v>
      </c>
      <c r="L32" s="6" t="s">
        <v>15</v>
      </c>
      <c r="M32" s="6" t="s">
        <v>16</v>
      </c>
      <c r="N32" s="6" t="s">
        <v>17</v>
      </c>
      <c r="O32" s="6" t="s">
        <v>18</v>
      </c>
      <c r="P32" s="6" t="s">
        <v>19</v>
      </c>
      <c r="Q32" s="6" t="s">
        <v>20</v>
      </c>
      <c r="S32" s="6" t="s">
        <v>44</v>
      </c>
      <c r="T32" s="1"/>
    </row>
    <row r="33" spans="1:20" x14ac:dyDescent="0.2">
      <c r="A33" s="10"/>
      <c r="B33" s="10"/>
      <c r="C33" s="10"/>
      <c r="D33" s="10"/>
      <c r="E33" s="10"/>
      <c r="F33" s="10"/>
      <c r="G33" s="53"/>
      <c r="H33" s="53"/>
      <c r="I33" s="10"/>
      <c r="J33" s="10"/>
      <c r="K33" s="10"/>
      <c r="L33" s="10"/>
      <c r="M33" s="10"/>
      <c r="N33" s="10"/>
      <c r="O33" s="10"/>
      <c r="P33" s="10"/>
      <c r="Q33" s="10"/>
      <c r="S33" s="58"/>
      <c r="T33" s="12"/>
    </row>
    <row r="34" spans="1:20" x14ac:dyDescent="0.2">
      <c r="A34" s="1"/>
      <c r="B34" s="1"/>
      <c r="C34" s="1"/>
      <c r="D34" s="1"/>
      <c r="E34" s="1"/>
      <c r="F34" s="1"/>
      <c r="G34" s="52"/>
      <c r="H34" s="52"/>
      <c r="I34" s="1"/>
      <c r="J34" s="1"/>
      <c r="K34" s="1"/>
      <c r="L34" s="1"/>
      <c r="M34" s="1"/>
      <c r="N34" s="1"/>
      <c r="O34" s="1"/>
      <c r="P34" s="1"/>
      <c r="Q34" s="1"/>
      <c r="S34" s="1"/>
      <c r="T34" s="12"/>
    </row>
    <row r="35" spans="1:20" s="1" customFormat="1" ht="13.5" thickBot="1" x14ac:dyDescent="0.25">
      <c r="B35" s="78" t="str">
        <f ca="1">"Total "&amp;$A$2</f>
        <v>Total Increasing insurance premiums</v>
      </c>
      <c r="C35" s="79"/>
      <c r="D35" s="78"/>
      <c r="E35" s="78"/>
      <c r="F35" s="78"/>
      <c r="G35" s="80" t="str">
        <f>"$k"&amp;" $"&amp;Year_of_Currency</f>
        <v>$k $2020/21</v>
      </c>
      <c r="H35" s="81"/>
      <c r="I35" s="78"/>
      <c r="J35" s="82"/>
      <c r="K35" s="82"/>
      <c r="L35" s="83"/>
      <c r="M35" s="83">
        <f>M29</f>
        <v>2350.5349371161624</v>
      </c>
      <c r="N35" s="83">
        <f t="shared" ref="N35:Q35" si="1">N29</f>
        <v>2350.5349371161624</v>
      </c>
      <c r="O35" s="83">
        <f t="shared" si="1"/>
        <v>2350.5349371161624</v>
      </c>
      <c r="P35" s="83">
        <f t="shared" si="1"/>
        <v>2350.5349371161624</v>
      </c>
      <c r="Q35" s="83">
        <f t="shared" si="1"/>
        <v>2350.5349371161624</v>
      </c>
      <c r="R35" s="45"/>
      <c r="S35" s="83">
        <f>SUM(M35:Q35)</f>
        <v>11752.674685580812</v>
      </c>
    </row>
    <row r="36" spans="1:20" s="1" customFormat="1" ht="13.5" thickTop="1" x14ac:dyDescent="0.2">
      <c r="G36" s="52"/>
      <c r="H36" s="52"/>
      <c r="M36" s="8"/>
      <c r="N36" s="8"/>
      <c r="O36" s="8"/>
      <c r="P36" s="8"/>
      <c r="Q36" s="8"/>
    </row>
    <row r="37" spans="1:20" x14ac:dyDescent="0.2">
      <c r="A37" s="1"/>
      <c r="B37" s="1"/>
      <c r="C37" s="1"/>
      <c r="D37" s="1"/>
      <c r="E37" s="1"/>
      <c r="F37" s="1"/>
      <c r="G37" s="52"/>
      <c r="H37" s="52"/>
      <c r="I37" s="1"/>
      <c r="J37" s="8"/>
      <c r="K37" s="8"/>
      <c r="L37" s="8"/>
      <c r="M37" s="8"/>
      <c r="N37" s="8"/>
      <c r="O37" s="8"/>
      <c r="P37" s="8"/>
      <c r="Q37" s="8"/>
      <c r="S37" s="1"/>
      <c r="T37" s="1"/>
    </row>
    <row r="38" spans="1:20" x14ac:dyDescent="0.2">
      <c r="A38" s="1"/>
      <c r="B38" s="1"/>
      <c r="C38" s="1"/>
      <c r="D38" s="1"/>
      <c r="E38" s="1"/>
      <c r="F38" s="1"/>
      <c r="G38" s="52"/>
      <c r="H38" s="52"/>
      <c r="I38" s="1"/>
      <c r="J38" s="8"/>
      <c r="K38" s="8"/>
      <c r="L38" s="8"/>
      <c r="M38" s="8"/>
      <c r="N38" s="8"/>
      <c r="O38" s="8"/>
      <c r="P38" s="8"/>
      <c r="Q38" s="8"/>
      <c r="S38" s="1"/>
      <c r="T38" s="1"/>
    </row>
    <row r="39" spans="1:20" x14ac:dyDescent="0.2">
      <c r="A39" s="1"/>
      <c r="B39" s="1"/>
      <c r="C39" s="1"/>
      <c r="D39" s="1"/>
      <c r="E39" s="1"/>
      <c r="F39" s="1"/>
      <c r="G39" s="52"/>
      <c r="H39" s="52"/>
      <c r="I39" s="1"/>
      <c r="J39" s="8"/>
      <c r="K39" s="8"/>
      <c r="L39" s="8"/>
      <c r="M39" s="8"/>
      <c r="N39" s="8"/>
      <c r="O39" s="8"/>
      <c r="P39" s="8"/>
      <c r="Q39" s="8"/>
      <c r="S39" s="1"/>
      <c r="T39" s="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Output</vt:lpstr>
      <vt:lpstr>Summary</vt:lpstr>
      <vt:lpstr>Assumptions</vt:lpstr>
      <vt:lpstr>5 minute settlement</vt:lpstr>
      <vt:lpstr>Security of critical infr</vt:lpstr>
      <vt:lpstr>Demand management</vt:lpstr>
      <vt:lpstr>Solar enablement</vt:lpstr>
      <vt:lpstr>IT cloud solutions</vt:lpstr>
      <vt:lpstr>Increasing insurance premiums</vt:lpstr>
      <vt:lpstr>UE_count</vt:lpstr>
      <vt:lpstr>Year_of_Currency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2020-01-29T03:34:22Z</dcterms:created>
  <dcterms:modified xsi:type="dcterms:W3CDTF">2020-11-30T00:27:25Z</dcterms:modified>
</cp:coreProperties>
</file>