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DA087A4F-E318-4CE3-A169-1C216D7EA28D}" xr6:coauthVersionLast="36" xr6:coauthVersionMax="36" xr10:uidLastSave="{00000000-0000-0000-0000-000000000000}"/>
  <bookViews>
    <workbookView xWindow="480" yWindow="510" windowWidth="19425" windowHeight="11025" xr2:uid="{00000000-000D-0000-FFFF-FFFF00000000}"/>
  </bookViews>
  <sheets>
    <sheet name="Calc" sheetId="11" r:id="rId1"/>
  </sheets>
  <externalReferences>
    <externalReference r:id="rId2"/>
  </externalReferences>
  <definedNames>
    <definedName name="_LU_Version">#REF!</definedName>
    <definedName name="InfoClassification">#REF!</definedName>
    <definedName name="Model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5" i="11" l="1"/>
  <c r="C35" i="11"/>
  <c r="D34" i="11"/>
  <c r="C34" i="11"/>
  <c r="D33" i="11"/>
  <c r="C33" i="11"/>
  <c r="D13" i="11" l="1"/>
  <c r="D12" i="11"/>
  <c r="C14" i="11" l="1"/>
  <c r="C18" i="11" l="1"/>
  <c r="C17" i="11"/>
  <c r="D14" i="11" l="1"/>
  <c r="C27" i="11"/>
  <c r="J7" i="11" l="1"/>
  <c r="K7" i="11" l="1"/>
  <c r="L7" i="11" s="1"/>
  <c r="M7" i="11" s="1"/>
  <c r="N7" i="11" s="1"/>
  <c r="O7" i="11" s="1"/>
  <c r="P7" i="11" s="1"/>
  <c r="J8" i="11"/>
  <c r="K8" i="11" s="1"/>
  <c r="L8" i="11" s="1"/>
  <c r="M8" i="11" s="1"/>
  <c r="N8" i="11" s="1"/>
  <c r="O8" i="11" s="1"/>
  <c r="P8" i="11" s="1"/>
  <c r="D41" i="11" l="1"/>
  <c r="E41" i="11"/>
  <c r="E45" i="11" s="1"/>
  <c r="D40" i="11"/>
  <c r="D44" i="11" s="1"/>
  <c r="E40" i="11"/>
  <c r="E44" i="11" s="1"/>
  <c r="D45" i="11"/>
  <c r="E46" i="11" l="1"/>
  <c r="D46" i="11"/>
</calcChain>
</file>

<file path=xl/sharedStrings.xml><?xml version="1.0" encoding="utf-8"?>
<sst xmlns="http://schemas.openxmlformats.org/spreadsheetml/2006/main" count="48" uniqueCount="38">
  <si>
    <t>CBD</t>
  </si>
  <si>
    <t>Urban</t>
  </si>
  <si>
    <t>Service Target Performance Incentive Scheme - Rate Calculation</t>
  </si>
  <si>
    <t>Inflation</t>
  </si>
  <si>
    <t>Assumptions</t>
  </si>
  <si>
    <t>AEMO VCR ($/MWh) - CBD</t>
  </si>
  <si>
    <t>AEMO VCR ($/MWh) - non CBD</t>
  </si>
  <si>
    <t>Rural (short and long)</t>
  </si>
  <si>
    <t>Smoothed revenue ($'m Jun 2021)</t>
  </si>
  <si>
    <t>SAIFI ($)</t>
  </si>
  <si>
    <t>SAIDI ($)</t>
  </si>
  <si>
    <t>SAIFI (%)</t>
  </si>
  <si>
    <t>SAIDI (%)</t>
  </si>
  <si>
    <t>Proportion of VCR</t>
  </si>
  <si>
    <t>Incentive rate (%)</t>
  </si>
  <si>
    <t>average(2021/22 - 2025/26)</t>
  </si>
  <si>
    <t>Average 2021/22 - 2025/26</t>
  </si>
  <si>
    <t>Ave unplanned SAIFI target</t>
  </si>
  <si>
    <t>Ave unplanned SAIDI target</t>
  </si>
  <si>
    <t>Ave Minutes in a regulatory year</t>
  </si>
  <si>
    <t>Calculation - Incentive rates based on AEMO Guideline VCR</t>
  </si>
  <si>
    <t xml:space="preserve"> (Source: AER STPIS Version 2.0 November 2018)</t>
  </si>
  <si>
    <t xml:space="preserve">Ratio of unplanned SAIDI/SAIFI    </t>
  </si>
  <si>
    <t>Rural Short</t>
  </si>
  <si>
    <t>Energy (MWh) - Urban</t>
  </si>
  <si>
    <t>Energy (MWh) - Rural Short</t>
  </si>
  <si>
    <t>United Energy</t>
  </si>
  <si>
    <t>Energy (MWh) - Network</t>
  </si>
  <si>
    <t>(Source: Reset RIN 3.4.1)</t>
  </si>
  <si>
    <t>(Source: 2018 Annual RIN 6.2.4)</t>
  </si>
  <si>
    <t>Ave Customer (#) - Urban</t>
  </si>
  <si>
    <t>Ave Customer (#) - Rural Short</t>
  </si>
  <si>
    <t>MAIFI incentive rate</t>
  </si>
  <si>
    <t>of SAIFI</t>
  </si>
  <si>
    <t>Ave unplanned MAIFI target</t>
  </si>
  <si>
    <t>MAIFI (%)</t>
  </si>
  <si>
    <t>Telephone answering</t>
  </si>
  <si>
    <t>AER, Value of customer reliability,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</si>
</sst>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$&quot;#,##0;[Red]\-&quot;$&quot;#,##0;\ &quot;-&quot;"/>
    <numFmt numFmtId="165" formatCode="#,##0_ ;[Red]\-#,##0\ "/>
    <numFmt numFmtId="166" formatCode="#,##0.0_ ;[Red]\-#,##0.0\ "/>
    <numFmt numFmtId="167" formatCode="0.0%"/>
    <numFmt numFmtId="168" formatCode="_-* #,##0_-;\-* #,##0_-;_-* &quot;-&quot;??_-;_-@_-"/>
    <numFmt numFmtId="169" formatCode="_-* #,##0.000_-;\-* #,##0.000_-;_-* &quot;-&quot;??_-;_-@_-"/>
  </numFmts>
  <fonts count="15" x14ac:knownFonts="1">
    <font>
      <sz val="10"/>
      <color theme="1"/>
      <name val="Verdana"/>
      <family val="2"/>
    </font>
    <font>
      <sz val="10"/>
      <name val="Arial"/>
      <family val="2"/>
    </font>
    <font>
      <b/>
      <sz val="11"/>
      <color indexed="62"/>
      <name val="Calibri"/>
      <family val="2"/>
    </font>
    <font>
      <sz val="10"/>
      <color theme="1"/>
      <name val="Verdana"/>
      <family val="2"/>
    </font>
    <font>
      <sz val="10"/>
      <color indexed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66FF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4" fillId="2" borderId="0">
      <alignment horizontal="center"/>
    </xf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9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5" fillId="3" borderId="0" xfId="0" applyFont="1" applyFill="1"/>
    <xf numFmtId="0" fontId="6" fillId="0" borderId="0" xfId="0" applyFont="1" applyBorder="1"/>
    <xf numFmtId="0" fontId="7" fillId="0" borderId="0" xfId="0" applyFont="1"/>
    <xf numFmtId="14" fontId="8" fillId="0" borderId="0" xfId="0" applyNumberFormat="1" applyFont="1" applyBorder="1"/>
    <xf numFmtId="14" fontId="8" fillId="0" borderId="0" xfId="0" applyNumberFormat="1" applyFont="1" applyBorder="1" applyAlignment="1">
      <alignment vertical="top"/>
    </xf>
    <xf numFmtId="0" fontId="10" fillId="4" borderId="0" xfId="6" applyFont="1" applyFill="1" applyAlignment="1">
      <alignment horizontal="left" vertical="center"/>
    </xf>
    <xf numFmtId="0" fontId="11" fillId="4" borderId="0" xfId="6" applyFont="1" applyFill="1" applyAlignment="1">
      <alignment horizontal="left" vertical="center"/>
    </xf>
    <xf numFmtId="0" fontId="6" fillId="0" borderId="1" xfId="0" applyFont="1" applyBorder="1"/>
    <xf numFmtId="0" fontId="8" fillId="0" borderId="1" xfId="0" applyFont="1" applyBorder="1"/>
    <xf numFmtId="164" fontId="12" fillId="5" borderId="0" xfId="0" applyNumberFormat="1" applyFont="1" applyFill="1" applyBorder="1" applyAlignment="1">
      <alignment horizontal="right" vertical="top"/>
    </xf>
    <xf numFmtId="164" fontId="12" fillId="0" borderId="0" xfId="0" applyNumberFormat="1" applyFont="1" applyFill="1" applyBorder="1" applyAlignment="1">
      <alignment horizontal="right" vertical="top"/>
    </xf>
    <xf numFmtId="165" fontId="12" fillId="5" borderId="0" xfId="0" applyNumberFormat="1" applyFont="1" applyFill="1" applyBorder="1" applyAlignment="1">
      <alignment horizontal="right" vertical="top"/>
    </xf>
    <xf numFmtId="166" fontId="12" fillId="5" borderId="0" xfId="0" applyNumberFormat="1" applyFont="1" applyFill="1" applyBorder="1" applyAlignment="1">
      <alignment horizontal="right" vertical="top"/>
    </xf>
    <xf numFmtId="10" fontId="12" fillId="5" borderId="0" xfId="5" applyNumberFormat="1" applyFont="1" applyFill="1"/>
    <xf numFmtId="0" fontId="6" fillId="0" borderId="0" xfId="0" applyFont="1"/>
    <xf numFmtId="0" fontId="8" fillId="0" borderId="0" xfId="0" applyFont="1"/>
    <xf numFmtId="3" fontId="6" fillId="0" borderId="0" xfId="0" applyNumberFormat="1" applyFont="1"/>
    <xf numFmtId="3" fontId="8" fillId="0" borderId="0" xfId="0" applyNumberFormat="1" applyFont="1"/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13" fillId="0" borderId="0" xfId="0" applyNumberFormat="1" applyFont="1" applyFill="1" applyBorder="1" applyAlignment="1">
      <alignment horizontal="center" vertical="top"/>
    </xf>
    <xf numFmtId="167" fontId="6" fillId="0" borderId="0" xfId="5" applyNumberFormat="1" applyFont="1" applyAlignment="1">
      <alignment horizontal="center"/>
    </xf>
    <xf numFmtId="0" fontId="14" fillId="0" borderId="0" xfId="0" applyFont="1"/>
    <xf numFmtId="4" fontId="12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167" fontId="6" fillId="0" borderId="0" xfId="5" applyNumberFormat="1" applyFont="1" applyBorder="1" applyAlignment="1">
      <alignment horizontal="center"/>
    </xf>
    <xf numFmtId="0" fontId="10" fillId="4" borderId="0" xfId="6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left" vertical="top"/>
    </xf>
    <xf numFmtId="9" fontId="12" fillId="0" borderId="0" xfId="5" applyFont="1" applyFill="1" applyBorder="1" applyAlignment="1">
      <alignment horizontal="right" vertical="top"/>
    </xf>
    <xf numFmtId="9" fontId="13" fillId="0" borderId="0" xfId="5" applyFont="1" applyFill="1" applyBorder="1" applyAlignment="1">
      <alignment horizontal="right" vertical="top"/>
    </xf>
    <xf numFmtId="168" fontId="13" fillId="0" borderId="0" xfId="7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>
      <alignment horizontal="right" vertical="top"/>
    </xf>
    <xf numFmtId="10" fontId="6" fillId="0" borderId="0" xfId="0" applyNumberFormat="1" applyFont="1"/>
    <xf numFmtId="0" fontId="6" fillId="0" borderId="2" xfId="0" applyFont="1" applyBorder="1"/>
    <xf numFmtId="165" fontId="12" fillId="5" borderId="2" xfId="0" applyNumberFormat="1" applyFont="1" applyFill="1" applyBorder="1" applyAlignment="1">
      <alignment horizontal="right" vertical="top"/>
    </xf>
    <xf numFmtId="9" fontId="12" fillId="5" borderId="2" xfId="5" applyFont="1" applyFill="1" applyBorder="1" applyAlignment="1">
      <alignment horizontal="right" vertical="top"/>
    </xf>
    <xf numFmtId="10" fontId="6" fillId="5" borderId="0" xfId="5" applyNumberFormat="1" applyFont="1" applyFill="1"/>
    <xf numFmtId="10" fontId="6" fillId="0" borderId="0" xfId="5" applyNumberFormat="1" applyFont="1"/>
    <xf numFmtId="169" fontId="6" fillId="0" borderId="0" xfId="7" applyNumberFormat="1" applyFont="1" applyAlignment="1">
      <alignment horizontal="center"/>
    </xf>
  </cellXfs>
  <cellStyles count="8">
    <cellStyle name="Comma" xfId="7" builtinId="3"/>
    <cellStyle name="Heading 4 2" xfId="1" xr:uid="{00000000-0005-0000-0000-000001000000}"/>
    <cellStyle name="Input2" xfId="2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  <cellStyle name="Normal 5" xfId="6" xr:uid="{00000000-0005-0000-0000-000006000000}"/>
    <cellStyle name="Percent" xfId="5" builtinId="5"/>
  </cellStyles>
  <dxfs count="0"/>
  <tableStyles count="0" defaultTableStyle="TableStyleMedium2" defaultPivotStyle="PivotStyleLight16"/>
  <colors>
    <mruColors>
      <color rgb="FFFF33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E%20MOD%2010.12%20-%20Targets%20-%20Jan2020%20-%20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_reliability"/>
      <sheetName val="Input_calls"/>
      <sheetName val="Calculations"/>
      <sheetName val="Output"/>
    </sheetNames>
    <sheetDataSet>
      <sheetData sheetId="0"/>
      <sheetData sheetId="1"/>
      <sheetData sheetId="2"/>
      <sheetData sheetId="3">
        <row r="5">
          <cell r="C5">
            <v>51.49466569183322</v>
          </cell>
          <cell r="D5">
            <v>121.52419302123414</v>
          </cell>
        </row>
        <row r="6">
          <cell r="C6">
            <v>0.65709083829821269</v>
          </cell>
          <cell r="D6">
            <v>1.6105015870065968</v>
          </cell>
        </row>
        <row r="7">
          <cell r="C7">
            <v>1.5637975209211823</v>
          </cell>
          <cell r="D7">
            <v>4.7274014707913574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showGridLines="0" tabSelected="1" zoomScale="90" zoomScaleNormal="90" workbookViewId="0">
      <selection activeCell="D34" sqref="D34"/>
    </sheetView>
  </sheetViews>
  <sheetFormatPr defaultColWidth="9" defaultRowHeight="12.75" x14ac:dyDescent="0.2"/>
  <cols>
    <col min="1" max="1" width="5.625" style="15" customWidth="1"/>
    <col min="2" max="2" width="26.25" style="15" customWidth="1"/>
    <col min="3" max="3" width="10.5" style="15" bestFit="1" customWidth="1"/>
    <col min="4" max="4" width="7.375" style="15" bestFit="1" customWidth="1"/>
    <col min="5" max="16384" width="9" style="15"/>
  </cols>
  <sheetData>
    <row r="1" spans="1:23" s="3" customFormat="1" ht="18.75" x14ac:dyDescent="0.3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</row>
    <row r="2" spans="1:23" s="3" customFormat="1" ht="18.75" x14ac:dyDescent="0.3">
      <c r="A2" s="1" t="s">
        <v>26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2"/>
      <c r="S2" s="2"/>
      <c r="T2" s="2"/>
      <c r="U2" s="2"/>
      <c r="V2" s="2"/>
      <c r="W2" s="2"/>
    </row>
    <row r="3" spans="1:23" s="2" customFormat="1" x14ac:dyDescent="0.2">
      <c r="A3" s="4"/>
    </row>
    <row r="4" spans="1:23" s="2" customFormat="1" x14ac:dyDescent="0.2">
      <c r="A4" s="7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23" s="2" customFormat="1" ht="12.75" customHeight="1" x14ac:dyDescent="0.2">
      <c r="A5" s="4"/>
      <c r="C5" s="9">
        <v>2008</v>
      </c>
      <c r="D5" s="9">
        <v>2009</v>
      </c>
      <c r="E5" s="9">
        <v>2010</v>
      </c>
      <c r="F5" s="9">
        <v>2011</v>
      </c>
      <c r="G5" s="9">
        <v>2012</v>
      </c>
      <c r="H5" s="9">
        <v>2013</v>
      </c>
      <c r="I5" s="9">
        <v>2014</v>
      </c>
      <c r="J5" s="9">
        <v>2015</v>
      </c>
      <c r="K5" s="9">
        <v>2016</v>
      </c>
      <c r="L5" s="9">
        <v>2017</v>
      </c>
      <c r="M5" s="9">
        <v>2018</v>
      </c>
      <c r="N5" s="9">
        <v>2019</v>
      </c>
      <c r="O5" s="9">
        <v>2020</v>
      </c>
      <c r="P5" s="9">
        <v>2021</v>
      </c>
    </row>
    <row r="6" spans="1:23" s="2" customFormat="1" ht="12.75" customHeight="1" x14ac:dyDescent="0.2">
      <c r="A6" s="5"/>
      <c r="B6" s="2" t="s">
        <v>3</v>
      </c>
      <c r="C6" s="11"/>
      <c r="D6" s="14">
        <v>4.9810844892812067E-2</v>
      </c>
      <c r="E6" s="14">
        <v>1.2612612612612484E-2</v>
      </c>
      <c r="F6" s="14">
        <v>2.7876631079478242E-2</v>
      </c>
      <c r="G6" s="14">
        <v>3.5199076745527913E-2</v>
      </c>
      <c r="H6" s="14">
        <v>2.0040080160320661E-2</v>
      </c>
      <c r="I6" s="14">
        <v>2.16110019646365E-2</v>
      </c>
      <c r="J6" s="14">
        <v>2.3076923076923217E-2</v>
      </c>
      <c r="K6" s="14">
        <v>1.5108593012275628E-2</v>
      </c>
      <c r="L6" s="14">
        <v>1.0232558139534831E-2</v>
      </c>
      <c r="M6" s="14">
        <v>1.9337016574585641E-2</v>
      </c>
      <c r="N6" s="14">
        <v>2.07768744354111E-2</v>
      </c>
      <c r="O6" s="14">
        <v>1.5929203539823078E-2</v>
      </c>
      <c r="P6" s="14">
        <v>0.02</v>
      </c>
    </row>
    <row r="7" spans="1:23" ht="12.75" customHeight="1" x14ac:dyDescent="0.2">
      <c r="B7" s="2" t="s">
        <v>5</v>
      </c>
      <c r="C7" s="11"/>
      <c r="D7" s="11"/>
      <c r="E7" s="11"/>
      <c r="F7" s="11"/>
      <c r="G7" s="11"/>
      <c r="H7" s="11"/>
      <c r="I7" s="10">
        <v>44520</v>
      </c>
      <c r="J7" s="11">
        <f t="shared" ref="J7:P7" si="0">I7*(1+J$6)</f>
        <v>45547.384615384624</v>
      </c>
      <c r="K7" s="11">
        <f t="shared" si="0"/>
        <v>46235.541512312055</v>
      </c>
      <c r="L7" s="11">
        <f t="shared" si="0"/>
        <v>46708.649378949667</v>
      </c>
      <c r="M7" s="11">
        <f t="shared" si="0"/>
        <v>47611.855306166923</v>
      </c>
      <c r="N7" s="11">
        <f t="shared" si="0"/>
        <v>48601.080845500117</v>
      </c>
      <c r="O7" s="11">
        <f t="shared" si="0"/>
        <v>49375.257354543486</v>
      </c>
      <c r="P7" s="11">
        <f t="shared" si="0"/>
        <v>50362.762501634359</v>
      </c>
      <c r="Q7" s="23" t="s">
        <v>37</v>
      </c>
    </row>
    <row r="8" spans="1:23" ht="12.75" customHeight="1" x14ac:dyDescent="0.2">
      <c r="B8" s="2" t="s">
        <v>6</v>
      </c>
      <c r="C8" s="11"/>
      <c r="D8" s="11"/>
      <c r="E8" s="11"/>
      <c r="F8" s="11"/>
      <c r="G8" s="11"/>
      <c r="H8" s="11"/>
      <c r="I8" s="10">
        <v>41210</v>
      </c>
      <c r="J8" s="11">
        <f t="shared" ref="J8:P8" si="1">I8*(1+J$6)</f>
        <v>42161.000000000007</v>
      </c>
      <c r="K8" s="11">
        <f t="shared" si="1"/>
        <v>42797.993389990559</v>
      </c>
      <c r="L8" s="11">
        <f t="shared" si="1"/>
        <v>43235.926345609063</v>
      </c>
      <c r="M8" s="11">
        <f t="shared" si="1"/>
        <v>44071.98016997167</v>
      </c>
      <c r="N8" s="11">
        <f t="shared" si="1"/>
        <v>44987.6581680831</v>
      </c>
      <c r="O8" s="11">
        <f t="shared" si="1"/>
        <v>45704.275731822483</v>
      </c>
      <c r="P8" s="11">
        <f t="shared" si="1"/>
        <v>46618.361246458931</v>
      </c>
      <c r="Q8" s="23" t="s">
        <v>37</v>
      </c>
    </row>
    <row r="9" spans="1:23" x14ac:dyDescent="0.2">
      <c r="B9" s="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23" x14ac:dyDescent="0.2">
      <c r="B10" s="2" t="s">
        <v>27</v>
      </c>
      <c r="C10" s="12">
        <v>7582817.5018389998</v>
      </c>
      <c r="D10" s="28" t="s">
        <v>15</v>
      </c>
      <c r="E10" s="11"/>
      <c r="F10" s="11"/>
      <c r="G10" s="23" t="s">
        <v>28</v>
      </c>
      <c r="H10" s="11"/>
      <c r="I10" s="11"/>
      <c r="J10" s="11"/>
      <c r="K10" s="11"/>
      <c r="L10" s="11"/>
      <c r="M10" s="11"/>
      <c r="N10" s="11"/>
      <c r="O10" s="11"/>
      <c r="P10" s="11"/>
    </row>
    <row r="11" spans="1:23" x14ac:dyDescent="0.2">
      <c r="B11" s="2"/>
      <c r="C11" s="11"/>
      <c r="D11" s="11"/>
      <c r="E11" s="11"/>
      <c r="F11" s="11"/>
      <c r="G11" s="11"/>
      <c r="H11" s="11"/>
      <c r="I11" s="29"/>
      <c r="J11" s="29"/>
      <c r="K11" s="11"/>
      <c r="L11" s="11"/>
      <c r="M11" s="11"/>
      <c r="N11" s="11"/>
      <c r="O11" s="11"/>
      <c r="P11" s="11"/>
    </row>
    <row r="12" spans="1:23" x14ac:dyDescent="0.2">
      <c r="B12" s="2" t="s">
        <v>30</v>
      </c>
      <c r="C12" s="12">
        <v>629140</v>
      </c>
      <c r="D12" s="30">
        <f>C12/$C$14</f>
        <v>0.92395989525889355</v>
      </c>
      <c r="E12" s="23" t="s">
        <v>29</v>
      </c>
      <c r="F12" s="11"/>
      <c r="G12" s="11"/>
      <c r="H12" s="11"/>
      <c r="I12" s="29"/>
      <c r="J12" s="29"/>
      <c r="K12" s="11"/>
      <c r="L12" s="11"/>
      <c r="M12" s="11"/>
      <c r="N12" s="11"/>
      <c r="O12" s="11"/>
      <c r="P12" s="11"/>
    </row>
    <row r="13" spans="1:23" x14ac:dyDescent="0.2">
      <c r="B13" s="2" t="s">
        <v>31</v>
      </c>
      <c r="C13" s="12">
        <v>51777</v>
      </c>
      <c r="D13" s="30">
        <f>C13/$C$14</f>
        <v>7.6040104741106479E-2</v>
      </c>
      <c r="E13" s="23" t="s">
        <v>29</v>
      </c>
      <c r="F13" s="11"/>
      <c r="G13" s="11"/>
      <c r="H13" s="11"/>
      <c r="I13" s="29"/>
      <c r="J13" s="29"/>
      <c r="K13" s="11"/>
      <c r="L13" s="11"/>
      <c r="M13" s="11"/>
      <c r="N13" s="11"/>
      <c r="O13" s="11"/>
      <c r="P13" s="11"/>
    </row>
    <row r="14" spans="1:23" x14ac:dyDescent="0.2">
      <c r="B14" s="2"/>
      <c r="C14" s="31">
        <f>SUM(C12:C13)</f>
        <v>680917</v>
      </c>
      <c r="D14" s="30">
        <f>SUM(D12:D13)</f>
        <v>1</v>
      </c>
      <c r="E14" s="23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23" x14ac:dyDescent="0.2">
      <c r="B15" s="2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23" x14ac:dyDescent="0.2">
      <c r="B16" s="2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2:9" x14ac:dyDescent="0.2">
      <c r="B17" s="2" t="s">
        <v>24</v>
      </c>
      <c r="C17" s="32">
        <f>$C$10*D12</f>
        <v>7006219.2647664668</v>
      </c>
      <c r="D17" s="11"/>
      <c r="E17" s="11"/>
      <c r="F17" s="11"/>
    </row>
    <row r="18" spans="2:9" x14ac:dyDescent="0.2">
      <c r="B18" s="2" t="s">
        <v>25</v>
      </c>
      <c r="C18" s="32">
        <f>$C$10*D13</f>
        <v>576598.23707253288</v>
      </c>
      <c r="D18" s="11"/>
      <c r="E18" s="11"/>
      <c r="F18" s="11"/>
    </row>
    <row r="19" spans="2:9" x14ac:dyDescent="0.2">
      <c r="B19" s="2"/>
      <c r="C19" s="2"/>
      <c r="D19" s="2"/>
      <c r="E19" s="2"/>
      <c r="F19" s="2"/>
    </row>
    <row r="20" spans="2:9" x14ac:dyDescent="0.2">
      <c r="B20" s="2" t="s">
        <v>8</v>
      </c>
      <c r="C20" s="10">
        <v>418.14708879395022</v>
      </c>
      <c r="D20" s="28" t="s">
        <v>15</v>
      </c>
    </row>
    <row r="22" spans="2:9" x14ac:dyDescent="0.2">
      <c r="B22" s="8"/>
      <c r="C22" s="9" t="s">
        <v>22</v>
      </c>
      <c r="D22" s="8"/>
      <c r="E22" s="8"/>
      <c r="F22" s="23" t="s">
        <v>21</v>
      </c>
      <c r="G22" s="2"/>
      <c r="H22" s="2"/>
      <c r="I22" s="2"/>
    </row>
    <row r="23" spans="2:9" x14ac:dyDescent="0.2">
      <c r="B23" s="2" t="s">
        <v>0</v>
      </c>
      <c r="C23" s="13">
        <v>1.5</v>
      </c>
      <c r="E23" s="23"/>
    </row>
    <row r="24" spans="2:9" x14ac:dyDescent="0.2">
      <c r="B24" s="2" t="s">
        <v>1</v>
      </c>
      <c r="C24" s="13">
        <v>1.5</v>
      </c>
      <c r="E24" s="23"/>
    </row>
    <row r="25" spans="2:9" x14ac:dyDescent="0.2">
      <c r="B25" s="2" t="s">
        <v>7</v>
      </c>
      <c r="C25" s="13">
        <v>1.5</v>
      </c>
      <c r="E25" s="23"/>
    </row>
    <row r="27" spans="2:9" x14ac:dyDescent="0.2">
      <c r="B27" s="34" t="s">
        <v>19</v>
      </c>
      <c r="C27" s="35">
        <f>365.25*24*60</f>
        <v>525960</v>
      </c>
      <c r="D27" s="34"/>
    </row>
    <row r="28" spans="2:9" x14ac:dyDescent="0.2">
      <c r="C28" s="17"/>
    </row>
    <row r="29" spans="2:9" x14ac:dyDescent="0.2">
      <c r="B29" s="34" t="s">
        <v>32</v>
      </c>
      <c r="C29" s="36">
        <v>0.08</v>
      </c>
      <c r="D29" s="34" t="s">
        <v>33</v>
      </c>
      <c r="F29" s="23" t="s">
        <v>21</v>
      </c>
    </row>
    <row r="30" spans="2:9" x14ac:dyDescent="0.2">
      <c r="C30" s="17"/>
    </row>
    <row r="31" spans="2:9" x14ac:dyDescent="0.2">
      <c r="C31" s="18" t="s">
        <v>16</v>
      </c>
      <c r="D31" s="16"/>
    </row>
    <row r="32" spans="2:9" x14ac:dyDescent="0.2">
      <c r="B32" s="8"/>
      <c r="C32" s="19" t="s">
        <v>1</v>
      </c>
      <c r="D32" s="19" t="s">
        <v>23</v>
      </c>
    </row>
    <row r="33" spans="1:16" x14ac:dyDescent="0.2">
      <c r="B33" s="15" t="s">
        <v>17</v>
      </c>
      <c r="C33" s="24">
        <f>[1]Output!$C$6</f>
        <v>0.65709083829821269</v>
      </c>
      <c r="D33" s="24">
        <f>[1]Output!$D$6</f>
        <v>1.6105015870065968</v>
      </c>
      <c r="E33" s="24"/>
    </row>
    <row r="34" spans="1:16" x14ac:dyDescent="0.2">
      <c r="B34" s="15" t="s">
        <v>18</v>
      </c>
      <c r="C34" s="24">
        <f>[1]Output!$C$5</f>
        <v>51.49466569183322</v>
      </c>
      <c r="D34" s="24">
        <f>[1]Output!$D$5</f>
        <v>121.52419302123414</v>
      </c>
      <c r="E34" s="24"/>
    </row>
    <row r="35" spans="1:16" x14ac:dyDescent="0.2">
      <c r="B35" s="15" t="s">
        <v>34</v>
      </c>
      <c r="C35" s="24">
        <f>[1]Output!$C$7</f>
        <v>1.5637975209211823</v>
      </c>
      <c r="D35" s="24">
        <f>[1]Output!$D$7</f>
        <v>4.7274014707913574</v>
      </c>
      <c r="E35" s="24"/>
    </row>
    <row r="36" spans="1:16" x14ac:dyDescent="0.2">
      <c r="C36" s="17"/>
    </row>
    <row r="37" spans="1:16" s="2" customFormat="1" x14ac:dyDescent="0.2">
      <c r="A37" s="7" t="s">
        <v>20</v>
      </c>
      <c r="B37" s="6"/>
      <c r="C37" s="6"/>
      <c r="D37" s="6"/>
      <c r="E37" s="6"/>
      <c r="F37" s="27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x14ac:dyDescent="0.2">
      <c r="F38" s="2"/>
    </row>
    <row r="39" spans="1:16" x14ac:dyDescent="0.2">
      <c r="B39" s="9" t="s">
        <v>13</v>
      </c>
      <c r="C39" s="9"/>
      <c r="D39" s="19" t="s">
        <v>1</v>
      </c>
      <c r="E39" s="19" t="s">
        <v>23</v>
      </c>
      <c r="F39" s="25"/>
    </row>
    <row r="40" spans="1:16" x14ac:dyDescent="0.2">
      <c r="B40" s="2" t="s">
        <v>9</v>
      </c>
      <c r="D40" s="21">
        <f>P$8/(1+C$24)</f>
        <v>18647.344498583574</v>
      </c>
      <c r="E40" s="21">
        <f>P$8/(1+C$25)</f>
        <v>18647.344498583574</v>
      </c>
      <c r="F40" s="21"/>
    </row>
    <row r="41" spans="1:16" x14ac:dyDescent="0.2">
      <c r="B41" s="2" t="s">
        <v>10</v>
      </c>
      <c r="D41" s="21">
        <f>P$8*(1-(1/(1+C$24)))</f>
        <v>27971.016747875357</v>
      </c>
      <c r="E41" s="21">
        <f>P$8*(1-(1/(1+C$25)))</f>
        <v>27971.016747875357</v>
      </c>
      <c r="F41" s="21"/>
    </row>
    <row r="42" spans="1:16" x14ac:dyDescent="0.2">
      <c r="B42" s="2"/>
      <c r="D42" s="20"/>
      <c r="E42" s="20"/>
      <c r="F42" s="2"/>
    </row>
    <row r="43" spans="1:16" x14ac:dyDescent="0.2">
      <c r="B43" s="9" t="s">
        <v>14</v>
      </c>
      <c r="C43" s="9"/>
      <c r="D43" s="19" t="s">
        <v>1</v>
      </c>
      <c r="E43" s="19" t="s">
        <v>23</v>
      </c>
      <c r="F43" s="25"/>
    </row>
    <row r="44" spans="1:16" x14ac:dyDescent="0.2">
      <c r="B44" s="2" t="s">
        <v>11</v>
      </c>
      <c r="D44" s="39">
        <f>((D40*$C$17)/($C$20*1000000))/$C$27*(C$34/C$33)</f>
        <v>4.6553866392780342E-2</v>
      </c>
      <c r="E44" s="39">
        <f>((E40*$C$18)/($C$20*1000000))/$C$27*(D$34/D$33)</f>
        <v>3.6890122634024862E-3</v>
      </c>
      <c r="F44" s="26"/>
      <c r="G44" s="38"/>
      <c r="H44" s="38"/>
      <c r="J44" s="33"/>
      <c r="K44" s="33"/>
    </row>
    <row r="45" spans="1:16" x14ac:dyDescent="0.2">
      <c r="B45" s="2" t="s">
        <v>12</v>
      </c>
      <c r="D45" s="39">
        <f>((D41*$C$17)/($C$20*1000000))/$C$27</f>
        <v>8.9106663815781764E-4</v>
      </c>
      <c r="E45" s="39">
        <f>((E41*$C$18)/($C$20*1000000))/$C$27</f>
        <v>7.3333053571378884E-5</v>
      </c>
      <c r="F45" s="26"/>
      <c r="G45" s="38"/>
      <c r="H45" s="38"/>
      <c r="J45" s="33"/>
      <c r="K45" s="33"/>
    </row>
    <row r="46" spans="1:16" x14ac:dyDescent="0.2">
      <c r="B46" s="2" t="s">
        <v>35</v>
      </c>
      <c r="D46" s="39">
        <f>D44*$C$29</f>
        <v>3.7243093114224276E-3</v>
      </c>
      <c r="E46" s="39">
        <f>E44*$C$29</f>
        <v>2.9512098107219891E-4</v>
      </c>
      <c r="G46" s="38"/>
      <c r="H46" s="38"/>
      <c r="J46" s="33"/>
      <c r="K46" s="33"/>
    </row>
    <row r="47" spans="1:16" x14ac:dyDescent="0.2">
      <c r="B47" s="2" t="s">
        <v>36</v>
      </c>
      <c r="D47" s="22"/>
      <c r="E47" s="22"/>
      <c r="F47" s="37">
        <v>-4.0000000000000002E-4</v>
      </c>
      <c r="G47" s="23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2020-01-24T01:17:59Z</dcterms:created>
  <dcterms:modified xsi:type="dcterms:W3CDTF">2020-01-29T23:33:35Z</dcterms:modified>
</cp:coreProperties>
</file>