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showInkAnnotation="0" codeName="ThisWorkbook"/>
  <bookViews>
    <workbookView xWindow="0" yWindow="0" windowWidth="25200" windowHeight="10485" tabRatio="648"/>
  </bookViews>
  <sheets>
    <sheet name="Overhead Service All" sheetId="18" r:id="rId1"/>
    <sheet name="Overhead Service NS" sheetId="23" r:id="rId2"/>
    <sheet name="Overhead Service PVC" sheetId="25" r:id="rId3"/>
    <sheet name="Overhead Service Other" sheetId="27" r:id="rId4"/>
    <sheet name="Overhead Service NS Pre-AMI" sheetId="26" r:id="rId5"/>
    <sheet name="Constants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123Graph_A" hidden="1">[1]SYDNEY!$S$45:$S$98</definedName>
    <definedName name="__123Graph_A5YRAVER" hidden="1">[1]SYDNEY!$T$19:$T$30</definedName>
    <definedName name="__123Graph_AAVDDAYS" hidden="1">[1]SYDNEY!$S$45:$S$98</definedName>
    <definedName name="__123Graph_B" hidden="1">[1]SYDNEY!$T$45:$T$98</definedName>
    <definedName name="__123Graph_B5YRAVER" hidden="1">[1]SYDNEY!$U$19:$U$30</definedName>
    <definedName name="__123Graph_BAVDDAYS" hidden="1">[1]SYDNEY!$T$45:$T$98</definedName>
    <definedName name="__123Graph_C" hidden="1">[1]SYDNEY!$U$45:$U$98</definedName>
    <definedName name="__123Graph_CAVDDAYS" hidden="1">[1]SYDNEY!$U$45:$U$98</definedName>
    <definedName name="__123Graph_D5YRAVER" hidden="1">[1]SYDNEY!$V$19:$V$30</definedName>
    <definedName name="__123Graph_X" hidden="1">[1]SYDNEY!$O$45:$O$98</definedName>
    <definedName name="__123Graph_X5YRAVER" hidden="1">[1]SYDNEY!$O$19:$O$30</definedName>
    <definedName name="__123Graph_XAVDDAYS" hidden="1">[1]SYDNEY!$O$45:$O$98</definedName>
    <definedName name="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xlnm._FilterDatabase" localSheetId="0" hidden="1">[2]DataAct!#REF!</definedName>
    <definedName name="_xlnm._FilterDatabase" localSheetId="1" hidden="1">[2]DataAct!#REF!</definedName>
    <definedName name="_xlnm._FilterDatabase" localSheetId="4" hidden="1">[2]DataAct!#REF!</definedName>
    <definedName name="_xlnm._FilterDatabase" localSheetId="3" hidden="1">[2]DataAct!#REF!</definedName>
    <definedName name="_xlnm._FilterDatabase" localSheetId="2" hidden="1">[2]DataAct!#REF!</definedName>
    <definedName name="_xlnm._FilterDatabase" hidden="1">[2]DataAct!#REF!</definedName>
    <definedName name="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Key1" localSheetId="0" hidden="1">#REF!</definedName>
    <definedName name="_Key1" localSheetId="1" hidden="1">#REF!</definedName>
    <definedName name="_Key1" localSheetId="4" hidden="1">#REF!</definedName>
    <definedName name="_Key1" localSheetId="3" hidden="1">#REF!</definedName>
    <definedName name="_Key1" localSheetId="2" hidden="1">#REF!</definedName>
    <definedName name="_Key1" hidden="1">#REF!</definedName>
    <definedName name="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localSheetId="4" hidden="1">#REF!</definedName>
    <definedName name="_Sort" localSheetId="3" hidden="1">#REF!</definedName>
    <definedName name="_Sort" localSheetId="2" hidden="1">#REF!</definedName>
    <definedName name="_Sort" hidden="1">#REF!</definedName>
    <definedName name="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asdfa345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lt_Chk_1_Hdg" hidden="1">[3]DebtDraw_FO!$B$1</definedName>
    <definedName name="Alt_Chk_2_Hdg" localSheetId="0" hidden="1">#REF!</definedName>
    <definedName name="Alt_Chk_2_Hdg" localSheetId="1" hidden="1">#REF!</definedName>
    <definedName name="Alt_Chk_2_Hdg" localSheetId="4" hidden="1">#REF!</definedName>
    <definedName name="Alt_Chk_2_Hdg" localSheetId="3" hidden="1">#REF!</definedName>
    <definedName name="Alt_Chk_2_Hdg" localSheetId="2" hidden="1">#REF!</definedName>
    <definedName name="Alt_Chk_2_Hdg" hidden="1">#REF!</definedName>
    <definedName name="anscount" hidden="1">1</definedName>
    <definedName name="ari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CoC_Fire">Constants!$B$29</definedName>
    <definedName name="COC_OUTAGE">Constants!$G$21</definedName>
    <definedName name="COST_INSPECT_SERVICE">Constants!$G$7</definedName>
    <definedName name="COST_REPL_SERVICE">Constants!$G$4</definedName>
    <definedName name="COST_REPL_SERVICE_UG">Constants!$G$5</definedName>
    <definedName name="dfg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ME_Dirty" hidden="1">"False"</definedName>
    <definedName name="DME_DocumentFlags" hidden="1">"1"</definedName>
    <definedName name="DME_DocumentID" hidden="1">"::ODMA\DME-MSE\LR-205172"</definedName>
    <definedName name="DME_DocumentOpened" hidden="1">"True"</definedName>
    <definedName name="DME_DocumentTitle" hidden="1">"LR-205172 - Pricing forms 8/4/03"</definedName>
    <definedName name="DME_LocalFile" hidden="1">"False"</definedName>
    <definedName name="DME_NextWindowNumber" hidden="1">"2"</definedName>
    <definedName name="Err_Chk_1_Hdg" hidden="1">[3]Board_FO!$B$1</definedName>
    <definedName name="Err_Chk_10_Hdg" localSheetId="0" hidden="1">#REF!</definedName>
    <definedName name="Err_Chk_10_Hdg" localSheetId="1" hidden="1">#REF!</definedName>
    <definedName name="Err_Chk_10_Hdg" localSheetId="4" hidden="1">#REF!</definedName>
    <definedName name="Err_Chk_10_Hdg" localSheetId="3" hidden="1">#REF!</definedName>
    <definedName name="Err_Chk_10_Hdg" localSheetId="2" hidden="1">#REF!</definedName>
    <definedName name="Err_Chk_10_Hdg" hidden="1">#REF!</definedName>
    <definedName name="Err_Chk_11_Hdg" localSheetId="0" hidden="1">#REF!</definedName>
    <definedName name="Err_Chk_11_Hdg" localSheetId="1" hidden="1">#REF!</definedName>
    <definedName name="Err_Chk_11_Hdg" localSheetId="4" hidden="1">#REF!</definedName>
    <definedName name="Err_Chk_11_Hdg" localSheetId="3" hidden="1">#REF!</definedName>
    <definedName name="Err_Chk_11_Hdg" localSheetId="2" hidden="1">#REF!</definedName>
    <definedName name="Err_Chk_11_Hdg" hidden="1">#REF!</definedName>
    <definedName name="Err_Chk_12_Hdg" hidden="1">[4]FTE_Summary_TO!$B$1</definedName>
    <definedName name="Err_Chk_13_Hdg" hidden="1">'[4]UED Capex-Cal Yr'!$B$1</definedName>
    <definedName name="Err_Chk_14_Hdg" hidden="1">'[4]UED Capex-Fin Yr'!$B$1</definedName>
    <definedName name="Err_Chk_15_Hdg" hidden="1">'[4]UED Capex-Qtr'!$B$1</definedName>
    <definedName name="Err_Chk_16_Hdg" hidden="1">'[4]UED Capex-Month'!$B$1</definedName>
    <definedName name="Err_Chk_17_Hdg" hidden="1">'[4]UED Balance Sheet-Month'!$B$1</definedName>
    <definedName name="Err_Chk_18_Hdg" hidden="1">'[4]MGH Capex-Cal Yr'!$B$1</definedName>
    <definedName name="Err_Chk_19_Hdg" hidden="1">'[4]MGH Capex-Fin Yr'!$B$1</definedName>
    <definedName name="Err_Chk_2_Hdg" hidden="1">[3]Board_FO!$B$1</definedName>
    <definedName name="Err_Chk_20_Hdg" hidden="1">'[4]MGH Capex-Qtr'!$B$1</definedName>
    <definedName name="Err_Chk_21_Hdg" hidden="1">'[4]MGH Capex-Month'!$B$1</definedName>
    <definedName name="Err_Chk_22_Hdg" hidden="1">'[4]MGH Balance Sheet-Month'!$B$1</definedName>
    <definedName name="Err_Chk_23_Hdg" hidden="1">'[4]UED Sum by Function'!$B$1</definedName>
    <definedName name="Err_Chk_24_Hdg" hidden="1">'[4]UED Sum by Function'!$B$1</definedName>
    <definedName name="Err_Chk_25_Hdg" hidden="1">'[4]UED Sum by Account'!$B$1</definedName>
    <definedName name="Err_Chk_26_Hdg" hidden="1">'[4]MGH Sum by Function'!$B$1</definedName>
    <definedName name="Err_Chk_27_Hdg" hidden="1">'[4]MGH Sum by Function'!$B$1</definedName>
    <definedName name="Err_Chk_28_Hdg" hidden="1">'[4]MGH Sum by Account'!$B$1</definedName>
    <definedName name="Err_Chk_29_Hdg" hidden="1">'[4]AD Report'!$B$1</definedName>
    <definedName name="Err_Chk_3_Hdg" hidden="1">[3]Board_FO!$B$1</definedName>
    <definedName name="Err_Chk_30_Hdg" hidden="1">'[4]Asset Management Report'!$B$1</definedName>
    <definedName name="Err_Chk_31_Hdg" hidden="1">'[4]CEO Report'!$B$1</definedName>
    <definedName name="Err_Chk_32_Hdg" hidden="1">'[4]CMM Report'!$B$1</definedName>
    <definedName name="Err_Chk_33_Hdg" hidden="1">'[4]COM Report'!$B$1</definedName>
    <definedName name="Err_Chk_34_Hdg" hidden="1">'[4]FIN Report'!$B$1</definedName>
    <definedName name="Err_Chk_35_Hdg" hidden="1">'[4]HR Report'!$B$1</definedName>
    <definedName name="Err_Chk_36_Hdg" hidden="1">'[4]IT Report'!$B$1</definedName>
    <definedName name="Err_Chk_37_Hdg" hidden="1">'[4]NIT Report'!$B$1</definedName>
    <definedName name="Err_Chk_38_Hdg" hidden="1">'[4]OHS Report'!$B$1</definedName>
    <definedName name="Err_Chk_39_Hdg" hidden="1">'[4]REG Report'!$B$1</definedName>
    <definedName name="Err_Chk_4_Hdg" hidden="1">[3]Tax_FO!$B$1</definedName>
    <definedName name="Err_Chk_40_Hdg" hidden="1">'[4]RISK Report'!$B$1</definedName>
    <definedName name="Err_Chk_41_Hdg" hidden="1">'[4]SDN Report'!$B$1</definedName>
    <definedName name="Err_Chk_42_Hdg" hidden="1">'[4]SDS Report'!$B$1</definedName>
    <definedName name="Err_Chk_5_Hdg" hidden="1">[3]Hist_Fin_Stmt_FA!$B$1</definedName>
    <definedName name="Err_Chk_6_Hdg" hidden="1">[3]Tax_FO!$B$1</definedName>
    <definedName name="Err_Chk_7_Hdg" localSheetId="0" hidden="1">#REF!</definedName>
    <definedName name="Err_Chk_7_Hdg" localSheetId="1" hidden="1">#REF!</definedName>
    <definedName name="Err_Chk_7_Hdg" localSheetId="4" hidden="1">#REF!</definedName>
    <definedName name="Err_Chk_7_Hdg" localSheetId="3" hidden="1">#REF!</definedName>
    <definedName name="Err_Chk_7_Hdg" localSheetId="2" hidden="1">#REF!</definedName>
    <definedName name="Err_Chk_7_Hdg" hidden="1">#REF!</definedName>
    <definedName name="Err_Chk_8_Hdg" localSheetId="0" hidden="1">#REF!</definedName>
    <definedName name="Err_Chk_8_Hdg" localSheetId="1" hidden="1">#REF!</definedName>
    <definedName name="Err_Chk_8_Hdg" localSheetId="4" hidden="1">#REF!</definedName>
    <definedName name="Err_Chk_8_Hdg" localSheetId="3" hidden="1">#REF!</definedName>
    <definedName name="Err_Chk_8_Hdg" localSheetId="2" hidden="1">#REF!</definedName>
    <definedName name="Err_Chk_8_Hdg" hidden="1">#REF!</definedName>
    <definedName name="Err_Chk_9_Hdg" localSheetId="0" hidden="1">#REF!</definedName>
    <definedName name="Err_Chk_9_Hdg" localSheetId="1" hidden="1">#REF!</definedName>
    <definedName name="Err_Chk_9_Hdg" localSheetId="4" hidden="1">#REF!</definedName>
    <definedName name="Err_Chk_9_Hdg" localSheetId="3" hidden="1">#REF!</definedName>
    <definedName name="Err_Chk_9_Hdg" localSheetId="2" hidden="1">#REF!</definedName>
    <definedName name="Err_Chk_9_Hdg" hidden="1">#REF!</definedName>
    <definedName name="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ULTS_ANN_VEH">Constants!$G$17</definedName>
    <definedName name="FAULTS_ANNUAL_MECH">Constants!$G$14</definedName>
    <definedName name="FAULTS_ANNUAL_VEG">Constants!$G$18</definedName>
    <definedName name="FAX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gh" localSheetId="0" hidden="1">[2]DataAct!#REF!</definedName>
    <definedName name="fgh" localSheetId="1" hidden="1">[2]DataAct!#REF!</definedName>
    <definedName name="fgh" localSheetId="4" hidden="1">[2]DataAct!#REF!</definedName>
    <definedName name="fgh" localSheetId="3" hidden="1">[2]DataAct!#REF!</definedName>
    <definedName name="fgh" localSheetId="2" hidden="1">[2]DataAct!#REF!</definedName>
    <definedName name="fgh" hidden="1">[2]DataAct!#REF!</definedName>
    <definedName name="FY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YPriceVolum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HL_Alt_Chk_1" hidden="1">[3]DebtDraw_FO!$I$156</definedName>
    <definedName name="HL_Alt_Chk_2" hidden="1">[3]Reg_Capex_FA!$H$83</definedName>
    <definedName name="HL_Err_Chk_1" hidden="1">[3]Board_FO!$I$309</definedName>
    <definedName name="HL_Err_Chk_10" localSheetId="0" hidden="1">#REF!</definedName>
    <definedName name="HL_Err_Chk_10" localSheetId="1" hidden="1">#REF!</definedName>
    <definedName name="HL_Err_Chk_10" localSheetId="4" hidden="1">#REF!</definedName>
    <definedName name="HL_Err_Chk_10" localSheetId="3" hidden="1">#REF!</definedName>
    <definedName name="HL_Err_Chk_10" localSheetId="2" hidden="1">#REF!</definedName>
    <definedName name="HL_Err_Chk_10" hidden="1">#REF!</definedName>
    <definedName name="HL_Err_Chk_11" localSheetId="0" hidden="1">#REF!</definedName>
    <definedName name="HL_Err_Chk_11" localSheetId="1" hidden="1">#REF!</definedName>
    <definedName name="HL_Err_Chk_11" localSheetId="4" hidden="1">#REF!</definedName>
    <definedName name="HL_Err_Chk_11" localSheetId="3" hidden="1">#REF!</definedName>
    <definedName name="HL_Err_Chk_11" localSheetId="2" hidden="1">#REF!</definedName>
    <definedName name="HL_Err_Chk_11" hidden="1">#REF!</definedName>
    <definedName name="HL_Err_Chk_12" hidden="1">[4]FTE_Summary_TO!$I$127</definedName>
    <definedName name="HL_Err_Chk_13" hidden="1">'[4]UED Capex-Cal Yr'!$F$87</definedName>
    <definedName name="HL_Err_Chk_14" hidden="1">'[4]UED Capex-Fin Yr'!$F$87</definedName>
    <definedName name="HL_Err_Chk_15" hidden="1">'[4]UED Capex-Qtr'!$F$87</definedName>
    <definedName name="HL_Err_Chk_16" hidden="1">'[4]UED Capex-Month'!$F$96</definedName>
    <definedName name="HL_Err_Chk_17" hidden="1">'[4]UED Balance Sheet-Month'!$F$90</definedName>
    <definedName name="HL_Err_Chk_18" hidden="1">'[4]MGH Capex-Cal Yr'!$F$69</definedName>
    <definedName name="HL_Err_Chk_19" hidden="1">'[4]MGH Capex-Fin Yr'!$F$69</definedName>
    <definedName name="HL_Err_Chk_2" hidden="1">[3]Board_FO!$I$389</definedName>
    <definedName name="HL_Err_Chk_20" hidden="1">'[4]MGH Capex-Qtr'!$F$69</definedName>
    <definedName name="HL_Err_Chk_21" hidden="1">'[4]MGH Capex-Month'!$F$78</definedName>
    <definedName name="HL_Err_Chk_22" hidden="1">'[4]MGH Balance Sheet-Month'!$F$70</definedName>
    <definedName name="HL_Err_Chk_23" hidden="1">'[4]UED Sum by Function'!$F$170</definedName>
    <definedName name="HL_Err_Chk_24" hidden="1">'[4]UED Sum by Function'!$F$171</definedName>
    <definedName name="HL_Err_Chk_25" hidden="1">'[4]UED Sum by Account'!$F$414</definedName>
    <definedName name="HL_Err_Chk_26" hidden="1">'[4]MGH Sum by Function'!$F$166</definedName>
    <definedName name="HL_Err_Chk_27" hidden="1">'[4]MGH Sum by Function'!$F$167</definedName>
    <definedName name="HL_Err_Chk_28" hidden="1">'[4]MGH Sum by Account'!$F$328</definedName>
    <definedName name="HL_Err_Chk_29" hidden="1">'[4]AD Report'!$P$1110</definedName>
    <definedName name="HL_Err_Chk_3" hidden="1">[3]Board_FO!$I$420</definedName>
    <definedName name="HL_Err_Chk_30" hidden="1">'[4]Asset Management Report'!$G$255</definedName>
    <definedName name="HL_Err_Chk_31" hidden="1">'[4]CEO Report'!$G$255</definedName>
    <definedName name="HL_Err_Chk_32" hidden="1">'[4]CMM Report'!$G$255</definedName>
    <definedName name="HL_Err_Chk_33" hidden="1">'[4]COM Report'!$G$255</definedName>
    <definedName name="HL_Err_Chk_34" hidden="1">'[4]FIN Report'!$G$255</definedName>
    <definedName name="HL_Err_Chk_35" hidden="1">'[4]HR Report'!$G$237</definedName>
    <definedName name="HL_Err_Chk_36" hidden="1">'[4]IT Report'!$G$237</definedName>
    <definedName name="HL_Err_Chk_37" hidden="1">'[4]NIT Report'!$G$255</definedName>
    <definedName name="HL_Err_Chk_38" hidden="1">'[4]OHS Report'!$G$255</definedName>
    <definedName name="HL_Err_Chk_39" hidden="1">'[4]REG Report'!$G$255</definedName>
    <definedName name="HL_Err_Chk_4" hidden="1">[3]Tax_FO!$I$208</definedName>
    <definedName name="HL_Err_Chk_40" hidden="1">'[4]RISK Report'!$G$255</definedName>
    <definedName name="HL_Err_Chk_41" hidden="1">'[4]SDN Report'!$G$255</definedName>
    <definedName name="HL_Err_Chk_42" hidden="1">'[4]SDS Report'!$G$255</definedName>
    <definedName name="HL_Err_Chk_5" hidden="1">[3]Hist_Fin_Stmt_FA!$I$310</definedName>
    <definedName name="HL_Err_Chk_6" hidden="1">[3]Tax_FO!$I$191</definedName>
    <definedName name="HL_Err_Chk_7" localSheetId="0" hidden="1">#REF!</definedName>
    <definedName name="HL_Err_Chk_7" localSheetId="1" hidden="1">#REF!</definedName>
    <definedName name="HL_Err_Chk_7" localSheetId="4" hidden="1">#REF!</definedName>
    <definedName name="HL_Err_Chk_7" localSheetId="3" hidden="1">#REF!</definedName>
    <definedName name="HL_Err_Chk_7" localSheetId="2" hidden="1">#REF!</definedName>
    <definedName name="HL_Err_Chk_7" hidden="1">#REF!</definedName>
    <definedName name="HL_Err_Chk_8" localSheetId="0" hidden="1">#REF!</definedName>
    <definedName name="HL_Err_Chk_8" localSheetId="1" hidden="1">#REF!</definedName>
    <definedName name="HL_Err_Chk_8" localSheetId="4" hidden="1">#REF!</definedName>
    <definedName name="HL_Err_Chk_8" localSheetId="3" hidden="1">#REF!</definedName>
    <definedName name="HL_Err_Chk_8" localSheetId="2" hidden="1">#REF!</definedName>
    <definedName name="HL_Err_Chk_8" hidden="1">#REF!</definedName>
    <definedName name="HL_Err_Chk_9" localSheetId="0" hidden="1">#REF!</definedName>
    <definedName name="HL_Err_Chk_9" localSheetId="1" hidden="1">#REF!</definedName>
    <definedName name="HL_Err_Chk_9" localSheetId="4" hidden="1">#REF!</definedName>
    <definedName name="HL_Err_Chk_9" localSheetId="3" hidden="1">#REF!</definedName>
    <definedName name="HL_Err_Chk_9" localSheetId="2" hidden="1">#REF!</definedName>
    <definedName name="HL_Err_Chk_9" hidden="1">#REF!</definedName>
    <definedName name="HL_Sheet_Main" localSheetId="0" hidden="1">#REF!</definedName>
    <definedName name="HL_Sheet_Main" localSheetId="1" hidden="1">#REF!</definedName>
    <definedName name="HL_Sheet_Main" localSheetId="4" hidden="1">#REF!</definedName>
    <definedName name="HL_Sheet_Main" localSheetId="3" hidden="1">#REF!</definedName>
    <definedName name="HL_Sheet_Main" localSheetId="2" hidden="1">#REF!</definedName>
    <definedName name="HL_Sheet_Main" hidden="1">#REF!</definedName>
    <definedName name="HL_Sheet_Main_14" localSheetId="0" hidden="1">'[5]A4. BudgetForecastAssump'!#REF!</definedName>
    <definedName name="HL_Sheet_Main_14" localSheetId="1" hidden="1">'[5]A4. BudgetForecastAssump'!#REF!</definedName>
    <definedName name="HL_Sheet_Main_14" localSheetId="4" hidden="1">'[5]A4. BudgetForecastAssump'!#REF!</definedName>
    <definedName name="HL_Sheet_Main_14" localSheetId="3" hidden="1">'[5]A4. BudgetForecastAssump'!#REF!</definedName>
    <definedName name="HL_Sheet_Main_14" localSheetId="2" hidden="1">'[5]A4. BudgetForecastAssump'!#REF!</definedName>
    <definedName name="HL_Sheet_Main_14" hidden="1">'[5]A4. BudgetForecastAssump'!#REF!</definedName>
    <definedName name="HL_Sheet_Main_16" localSheetId="0" hidden="1">#REF!</definedName>
    <definedName name="HL_Sheet_Main_16" localSheetId="1" hidden="1">#REF!</definedName>
    <definedName name="HL_Sheet_Main_16" localSheetId="4" hidden="1">#REF!</definedName>
    <definedName name="HL_Sheet_Main_16" localSheetId="3" hidden="1">#REF!</definedName>
    <definedName name="HL_Sheet_Main_16" localSheetId="2" hidden="1">#REF!</definedName>
    <definedName name="HL_Sheet_Main_16" hidden="1">#REF!</definedName>
    <definedName name="HL_Sheet_Main_2" localSheetId="0" hidden="1">#REF!</definedName>
    <definedName name="HL_Sheet_Main_2" localSheetId="1" hidden="1">#REF!</definedName>
    <definedName name="HL_Sheet_Main_2" localSheetId="4" hidden="1">#REF!</definedName>
    <definedName name="HL_Sheet_Main_2" localSheetId="3" hidden="1">#REF!</definedName>
    <definedName name="HL_Sheet_Main_2" localSheetId="2" hidden="1">#REF!</definedName>
    <definedName name="HL_Sheet_Main_2" hidden="1">#REF!</definedName>
    <definedName name="HL_Sheet_Main_6" localSheetId="0" hidden="1">#REF!</definedName>
    <definedName name="HL_Sheet_Main_6" localSheetId="1" hidden="1">#REF!</definedName>
    <definedName name="HL_Sheet_Main_6" localSheetId="4" hidden="1">#REF!</definedName>
    <definedName name="HL_Sheet_Main_6" localSheetId="3" hidden="1">#REF!</definedName>
    <definedName name="HL_Sheet_Main_6" localSheetId="2" hidden="1">#REF!</definedName>
    <definedName name="HL_Sheet_Main_6" hidden="1">#REF!</definedName>
    <definedName name="HL_Sheet_Main_7" localSheetId="0" hidden="1">#REF!</definedName>
    <definedName name="HL_Sheet_Main_7" localSheetId="1" hidden="1">#REF!</definedName>
    <definedName name="HL_Sheet_Main_7" localSheetId="4" hidden="1">#REF!</definedName>
    <definedName name="HL_Sheet_Main_7" localSheetId="3" hidden="1">#REF!</definedName>
    <definedName name="HL_Sheet_Main_7" localSheetId="2" hidden="1">#REF!</definedName>
    <definedName name="HL_Sheet_Main_7" hidden="1">#REF!</definedName>
    <definedName name="hugh" localSheetId="0" hidden="1">[6]DataAct!#REF!</definedName>
    <definedName name="hugh" localSheetId="1" hidden="1">[6]DataAct!#REF!</definedName>
    <definedName name="hugh" localSheetId="4" hidden="1">[6]DataAct!#REF!</definedName>
    <definedName name="hugh" localSheetId="3" hidden="1">[6]DataAct!#REF!</definedName>
    <definedName name="hugh" localSheetId="2" hidden="1">[6]DataAct!#REF!</definedName>
    <definedName name="hugh" hidden="1">[6]DataAct!#REF!</definedName>
    <definedName name="IRU">Constants!$B$23</definedName>
    <definedName name="jn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o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OS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kj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imcount" hidden="1">2</definedName>
    <definedName name="m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NS_Failures_yr">Constants!$G$28</definedName>
    <definedName name="NS_Shocks_Yr">Constants!$G$23</definedName>
    <definedName name="NUM_ABC">Constants!$G$11</definedName>
    <definedName name="NUM_NEUTRAL_SCREEN">Constants!$G$10</definedName>
    <definedName name="NUM_OTHER_OVERHEAD">Constants!$G$12</definedName>
    <definedName name="NUM_PVC_TWIST">Constants!$G$9</definedName>
    <definedName name="NUM_REPL_ANNUAL">Constants!$G$6</definedName>
    <definedName name="NUM_UNDERGROUND">Constants!$G$13</definedName>
    <definedName name="o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Other_Failures_yr">Constants!$G$30</definedName>
    <definedName name="Other_Shocks_Yr">Constants!$G$25</definedName>
    <definedName name="p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POC_FIRE">Constants!$G$34</definedName>
    <definedName name="POC_OUTAGE">Constants!$G$19</definedName>
    <definedName name="POC_SHOCK">Constants!$G$20</definedName>
    <definedName name="PoC_Shock_PVC">Constants!$G$32</definedName>
    <definedName name="PUBLIC_DF">Constants!$B$18</definedName>
    <definedName name="PVC_Failures_yr">Constants!$G$29</definedName>
    <definedName name="PVC_Shocks_Yr">Constants!$G$24</definedName>
    <definedName name="pwq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bv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encount" hidden="1">2</definedName>
    <definedName name="testc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test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TOC_Hdg_3" hidden="1">[4]Checks_BO!$B$7</definedName>
    <definedName name="TOC_Hdg_4" hidden="1">[4]Checks_BO!$B$66</definedName>
    <definedName name="TOC_Hdg_5" hidden="1">[4]Checks_BO!$B$82</definedName>
    <definedName name="UG_Failures_Yr">Constants!$G$31</definedName>
    <definedName name="UG_Shocks_Yr">Constants!$G$26</definedName>
    <definedName name="v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VCR">Constants!$G$3</definedName>
    <definedName name="VLTI">Constants!$B$17</definedName>
    <definedName name="VSL">Constants!$B$16</definedName>
    <definedName name="wrn.Print._.Summary.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Summary.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TEST." hidden="1">{#N/A,#N/A,FALSE,"MGH income-Support";#N/A,#N/A,FALSE,"MGN balance sheet-Support"}</definedName>
    <definedName name="wrn.UEG._.Operating._.Report.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x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_194E5B9A_53B1_414D_85B4_862268EA3FD8_.wvu.Cols" localSheetId="0" hidden="1">#REF!,#REF!</definedName>
    <definedName name="Z_194E5B9A_53B1_414D_85B4_862268EA3FD8_.wvu.Cols" localSheetId="1" hidden="1">#REF!,#REF!</definedName>
    <definedName name="Z_194E5B9A_53B1_414D_85B4_862268EA3FD8_.wvu.Cols" localSheetId="4" hidden="1">#REF!,#REF!</definedName>
    <definedName name="Z_194E5B9A_53B1_414D_85B4_862268EA3FD8_.wvu.Cols" localSheetId="3" hidden="1">#REF!,#REF!</definedName>
    <definedName name="Z_194E5B9A_53B1_414D_85B4_862268EA3FD8_.wvu.Cols" localSheetId="2" hidden="1">#REF!,#REF!</definedName>
    <definedName name="Z_194E5B9A_53B1_414D_85B4_862268EA3FD8_.wvu.Cols" hidden="1">#REF!,#REF!</definedName>
    <definedName name="Z_457C99E0_B489_11D4_9586_D18A69491E44_.wvu.FilterData" localSheetId="0" hidden="1">[2]DataAct!#REF!</definedName>
    <definedName name="Z_457C99E0_B489_11D4_9586_D18A69491E44_.wvu.FilterData" localSheetId="1" hidden="1">[2]DataAct!#REF!</definedName>
    <definedName name="Z_457C99E0_B489_11D4_9586_D18A69491E44_.wvu.FilterData" localSheetId="4" hidden="1">[2]DataAct!#REF!</definedName>
    <definedName name="Z_457C99E0_B489_11D4_9586_D18A69491E44_.wvu.FilterData" localSheetId="3" hidden="1">[2]DataAct!#REF!</definedName>
    <definedName name="Z_457C99E0_B489_11D4_9586_D18A69491E44_.wvu.FilterData" localSheetId="2" hidden="1">[2]DataAct!#REF!</definedName>
    <definedName name="Z_457C99E0_B489_11D4_9586_D18A69491E44_.wvu.FilterData" hidden="1">[2]DataAct!#REF!</definedName>
    <definedName name="Z_4A79B72B_DC22_4363_885C_85183B73F539_.wvu.Cols" hidden="1">'[7]Inputs II'!$D$1:$F$65536,'[7]Inputs II'!$G$1:$I$65536</definedName>
    <definedName name="Z_6664BF98_58A8_4AA7_B274_16B63D099514_.wvu.PrintTitles" localSheetId="0" hidden="1">#REF!</definedName>
    <definedName name="Z_6664BF98_58A8_4AA7_B274_16B63D099514_.wvu.PrintTitles" localSheetId="1" hidden="1">#REF!</definedName>
    <definedName name="Z_6664BF98_58A8_4AA7_B274_16B63D099514_.wvu.PrintTitles" localSheetId="4" hidden="1">#REF!</definedName>
    <definedName name="Z_6664BF98_58A8_4AA7_B274_16B63D099514_.wvu.PrintTitles" localSheetId="3" hidden="1">#REF!</definedName>
    <definedName name="Z_6664BF98_58A8_4AA7_B274_16B63D099514_.wvu.PrintTitles" localSheetId="2" hidden="1">#REF!</definedName>
    <definedName name="Z_6664BF98_58A8_4AA7_B274_16B63D099514_.wvu.PrintTitles" hidden="1">#REF!</definedName>
    <definedName name="Z_6664BF98_58A8_4AA7_B274_16B63D099514_.wvu.Rows" localSheetId="0" hidden="1">#REF!</definedName>
    <definedName name="Z_6664BF98_58A8_4AA7_B274_16B63D099514_.wvu.Rows" localSheetId="1" hidden="1">#REF!</definedName>
    <definedName name="Z_6664BF98_58A8_4AA7_B274_16B63D099514_.wvu.Rows" localSheetId="4" hidden="1">#REF!</definedName>
    <definedName name="Z_6664BF98_58A8_4AA7_B274_16B63D099514_.wvu.Rows" localSheetId="3" hidden="1">#REF!</definedName>
    <definedName name="Z_6664BF98_58A8_4AA7_B274_16B63D099514_.wvu.Rows" localSheetId="2" hidden="1">#REF!</definedName>
    <definedName name="Z_6664BF98_58A8_4AA7_B274_16B63D099514_.wvu.Rows" hidden="1">#REF!</definedName>
    <definedName name="Z_7BA556F5_54D8_11D5_A01A_F3F642D11487_.wvu.PrintTitles" localSheetId="0" hidden="1">#REF!</definedName>
    <definedName name="Z_7BA556F5_54D8_11D5_A01A_F3F642D11487_.wvu.PrintTitles" localSheetId="1" hidden="1">#REF!</definedName>
    <definedName name="Z_7BA556F5_54D8_11D5_A01A_F3F642D11487_.wvu.PrintTitles" localSheetId="4" hidden="1">#REF!</definedName>
    <definedName name="Z_7BA556F5_54D8_11D5_A01A_F3F642D11487_.wvu.PrintTitles" localSheetId="3" hidden="1">#REF!</definedName>
    <definedName name="Z_7BA556F5_54D8_11D5_A01A_F3F642D11487_.wvu.PrintTitles" localSheetId="2" hidden="1">#REF!</definedName>
    <definedName name="Z_7BA556F5_54D8_11D5_A01A_F3F642D11487_.wvu.PrintTitles" hidden="1">#REF!</definedName>
    <definedName name="Z_82A713E0_6943_11D4_BE9F_0010A4B0D9C7_.wvu.Cols" localSheetId="0" hidden="1">#REF!</definedName>
    <definedName name="Z_82A713E0_6943_11D4_BE9F_0010A4B0D9C7_.wvu.Cols" localSheetId="1" hidden="1">#REF!</definedName>
    <definedName name="Z_82A713E0_6943_11D4_BE9F_0010A4B0D9C7_.wvu.Cols" localSheetId="4" hidden="1">#REF!</definedName>
    <definedName name="Z_82A713E0_6943_11D4_BE9F_0010A4B0D9C7_.wvu.Cols" localSheetId="3" hidden="1">#REF!</definedName>
    <definedName name="Z_82A713E0_6943_11D4_BE9F_0010A4B0D9C7_.wvu.Cols" localSheetId="2" hidden="1">#REF!</definedName>
    <definedName name="Z_82A713E0_6943_11D4_BE9F_0010A4B0D9C7_.wvu.Cols" hidden="1">#REF!</definedName>
    <definedName name="Z_82A713E0_6943_11D4_BE9F_0010A4B0D9C7_.wvu.Rows" localSheetId="0" hidden="1">#REF!,#REF!</definedName>
    <definedName name="Z_82A713E0_6943_11D4_BE9F_0010A4B0D9C7_.wvu.Rows" localSheetId="1" hidden="1">#REF!,#REF!</definedName>
    <definedName name="Z_82A713E0_6943_11D4_BE9F_0010A4B0D9C7_.wvu.Rows" localSheetId="4" hidden="1">#REF!,#REF!</definedName>
    <definedName name="Z_82A713E0_6943_11D4_BE9F_0010A4B0D9C7_.wvu.Rows" localSheetId="3" hidden="1">#REF!,#REF!</definedName>
    <definedName name="Z_82A713E0_6943_11D4_BE9F_0010A4B0D9C7_.wvu.Rows" localSheetId="2" hidden="1">#REF!,#REF!</definedName>
    <definedName name="Z_82A713E0_6943_11D4_BE9F_0010A4B0D9C7_.wvu.Rows" hidden="1">#REF!,#REF!</definedName>
    <definedName name="Z_86D17A40_67AF_11D4_BE9F_0010A4C47286_.wvu.FilterData" localSheetId="0" hidden="1">[2]DataAct!#REF!</definedName>
    <definedName name="Z_86D17A40_67AF_11D4_BE9F_0010A4C47286_.wvu.FilterData" localSheetId="1" hidden="1">[2]DataAct!#REF!</definedName>
    <definedName name="Z_86D17A40_67AF_11D4_BE9F_0010A4C47286_.wvu.FilterData" localSheetId="4" hidden="1">[2]DataAct!#REF!</definedName>
    <definedName name="Z_86D17A40_67AF_11D4_BE9F_0010A4C47286_.wvu.FilterData" localSheetId="3" hidden="1">[2]DataAct!#REF!</definedName>
    <definedName name="Z_86D17A40_67AF_11D4_BE9F_0010A4C47286_.wvu.FilterData" localSheetId="2" hidden="1">[2]DataAct!#REF!</definedName>
    <definedName name="Z_86D17A40_67AF_11D4_BE9F_0010A4C47286_.wvu.FilterData" hidden="1">[2]DataAct!#REF!</definedName>
    <definedName name="Z_86D17A4F_67AF_11D4_BE9F_0010A4C47286_.wvu.FilterData" localSheetId="0" hidden="1">[2]DataAct!#REF!</definedName>
    <definedName name="Z_86D17A4F_67AF_11D4_BE9F_0010A4C47286_.wvu.FilterData" localSheetId="1" hidden="1">[2]DataAct!#REF!</definedName>
    <definedName name="Z_86D17A4F_67AF_11D4_BE9F_0010A4C47286_.wvu.FilterData" localSheetId="4" hidden="1">[2]DataAct!#REF!</definedName>
    <definedName name="Z_86D17A4F_67AF_11D4_BE9F_0010A4C47286_.wvu.FilterData" localSheetId="3" hidden="1">[2]DataAct!#REF!</definedName>
    <definedName name="Z_86D17A4F_67AF_11D4_BE9F_0010A4C47286_.wvu.FilterData" localSheetId="2" hidden="1">[2]DataAct!#REF!</definedName>
    <definedName name="Z_86D17A4F_67AF_11D4_BE9F_0010A4C47286_.wvu.FilterData" hidden="1">[2]DataAct!#REF!</definedName>
    <definedName name="Z_954171C1_B0CF_11D4_9586_C4C4470EA652_.wvu.FilterData" localSheetId="0" hidden="1">[2]DataAct!#REF!</definedName>
    <definedName name="Z_954171C1_B0CF_11D4_9586_C4C4470EA652_.wvu.FilterData" localSheetId="1" hidden="1">[2]DataAct!#REF!</definedName>
    <definedName name="Z_954171C1_B0CF_11D4_9586_C4C4470EA652_.wvu.FilterData" localSheetId="4" hidden="1">[2]DataAct!#REF!</definedName>
    <definedName name="Z_954171C1_B0CF_11D4_9586_C4C4470EA652_.wvu.FilterData" localSheetId="3" hidden="1">[2]DataAct!#REF!</definedName>
    <definedName name="Z_954171C1_B0CF_11D4_9586_C4C4470EA652_.wvu.FilterData" localSheetId="2" hidden="1">[2]DataAct!#REF!</definedName>
    <definedName name="Z_954171C1_B0CF_11D4_9586_C4C4470EA652_.wvu.FilterData" hidden="1">[2]DataAct!#REF!</definedName>
    <definedName name="Z_954171C6_B0CF_11D4_9586_C4C4470EA652_.wvu.FilterData" localSheetId="0" hidden="1">[2]DataAct!#REF!</definedName>
    <definedName name="Z_954171C6_B0CF_11D4_9586_C4C4470EA652_.wvu.FilterData" localSheetId="1" hidden="1">[2]DataAct!#REF!</definedName>
    <definedName name="Z_954171C6_B0CF_11D4_9586_C4C4470EA652_.wvu.FilterData" localSheetId="4" hidden="1">[2]DataAct!#REF!</definedName>
    <definedName name="Z_954171C6_B0CF_11D4_9586_C4C4470EA652_.wvu.FilterData" localSheetId="3" hidden="1">[2]DataAct!#REF!</definedName>
    <definedName name="Z_954171C6_B0CF_11D4_9586_C4C4470EA652_.wvu.FilterData" localSheetId="2" hidden="1">[2]DataAct!#REF!</definedName>
    <definedName name="Z_954171C6_B0CF_11D4_9586_C4C4470EA652_.wvu.FilterData" hidden="1">[2]DataAct!#REF!</definedName>
    <definedName name="Z_B353C461_E47E_11D3_9F17_9F7735ADF445_.wvu.PrintArea" localSheetId="0" hidden="1">#REF!</definedName>
    <definedName name="Z_B353C461_E47E_11D3_9F17_9F7735ADF445_.wvu.PrintArea" localSheetId="1" hidden="1">#REF!</definedName>
    <definedName name="Z_B353C461_E47E_11D3_9F17_9F7735ADF445_.wvu.PrintArea" localSheetId="4" hidden="1">#REF!</definedName>
    <definedName name="Z_B353C461_E47E_11D3_9F17_9F7735ADF445_.wvu.PrintArea" localSheetId="3" hidden="1">#REF!</definedName>
    <definedName name="Z_B353C461_E47E_11D3_9F17_9F7735ADF445_.wvu.PrintArea" localSheetId="2" hidden="1">#REF!</definedName>
    <definedName name="Z_B353C461_E47E_11D3_9F17_9F7735ADF445_.wvu.PrintArea" hidden="1">#REF!</definedName>
    <definedName name="Z_B6615E22_B0C4_11D4_9586_D4E81DC95A44_.wvu.FilterData" localSheetId="0" hidden="1">[2]DataAct!#REF!</definedName>
    <definedName name="Z_B6615E22_B0C4_11D4_9586_D4E81DC95A44_.wvu.FilterData" localSheetId="1" hidden="1">[2]DataAct!#REF!</definedName>
    <definedName name="Z_B6615E22_B0C4_11D4_9586_D4E81DC95A44_.wvu.FilterData" localSheetId="4" hidden="1">[2]DataAct!#REF!</definedName>
    <definedName name="Z_B6615E22_B0C4_11D4_9586_D4E81DC95A44_.wvu.FilterData" localSheetId="3" hidden="1">[2]DataAct!#REF!</definedName>
    <definedName name="Z_B6615E22_B0C4_11D4_9586_D4E81DC95A44_.wvu.FilterData" localSheetId="2" hidden="1">[2]DataAct!#REF!</definedName>
    <definedName name="Z_B6615E22_B0C4_11D4_9586_D4E81DC95A44_.wvu.FilterData" hidden="1">[2]DataAct!#REF!</definedName>
    <definedName name="Z_CFB7B7F4_1D0A_11D5_9586_DD7024B77949_.wvu.FilterData" localSheetId="0" hidden="1">[2]DataAct!#REF!</definedName>
    <definedName name="Z_CFB7B7F4_1D0A_11D5_9586_DD7024B77949_.wvu.FilterData" localSheetId="1" hidden="1">[2]DataAct!#REF!</definedName>
    <definedName name="Z_CFB7B7F4_1D0A_11D5_9586_DD7024B77949_.wvu.FilterData" localSheetId="4" hidden="1">[2]DataAct!#REF!</definedName>
    <definedName name="Z_CFB7B7F4_1D0A_11D5_9586_DD7024B77949_.wvu.FilterData" localSheetId="3" hidden="1">[2]DataAct!#REF!</definedName>
    <definedName name="Z_CFB7B7F4_1D0A_11D5_9586_DD7024B77949_.wvu.FilterData" localSheetId="2" hidden="1">[2]DataAct!#REF!</definedName>
    <definedName name="Z_CFB7B7F4_1D0A_11D5_9586_DD7024B77949_.wvu.FilterData" hidden="1">[2]DataAct!#REF!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25" l="1"/>
  <c r="P11" i="27" l="1"/>
  <c r="P11" i="25"/>
  <c r="P11" i="23"/>
  <c r="B11" i="23" l="1"/>
  <c r="B3" i="27" l="1"/>
  <c r="O30" i="27"/>
  <c r="AB8" i="27" s="1"/>
  <c r="R28" i="27"/>
  <c r="Q28" i="27"/>
  <c r="AA10" i="27" s="1"/>
  <c r="P28" i="27"/>
  <c r="AA9" i="27" s="1"/>
  <c r="L28" i="27"/>
  <c r="Q27" i="27"/>
  <c r="L27" i="27"/>
  <c r="R27" i="27" s="1"/>
  <c r="R26" i="27"/>
  <c r="Q26" i="27"/>
  <c r="Q31" i="27" s="1"/>
  <c r="Z10" i="27" s="1"/>
  <c r="E24" i="27"/>
  <c r="B20" i="27"/>
  <c r="AC12" i="27"/>
  <c r="AB12" i="27"/>
  <c r="AA12" i="27"/>
  <c r="Z12" i="27"/>
  <c r="Y12" i="27"/>
  <c r="AA11" i="27"/>
  <c r="Y11" i="27"/>
  <c r="AC10" i="27"/>
  <c r="Y10" i="27"/>
  <c r="Y9" i="27"/>
  <c r="Y8" i="27"/>
  <c r="AB7" i="27"/>
  <c r="Y7" i="27"/>
  <c r="N7" i="27"/>
  <c r="Y6" i="27"/>
  <c r="B6" i="27"/>
  <c r="M10" i="27" s="1"/>
  <c r="AA5" i="27"/>
  <c r="Y5" i="27"/>
  <c r="B5" i="27"/>
  <c r="L7" i="27" s="1"/>
  <c r="M7" i="27" s="1"/>
  <c r="M26" i="27" s="1"/>
  <c r="M31" i="27" s="1"/>
  <c r="Q29" i="27" l="1"/>
  <c r="N26" i="27"/>
  <c r="N31" i="27" s="1"/>
  <c r="P7" i="27"/>
  <c r="P26" i="27" s="1"/>
  <c r="R31" i="27"/>
  <c r="Z11" i="27" s="1"/>
  <c r="Z6" i="27"/>
  <c r="Z7" i="27"/>
  <c r="N10" i="27"/>
  <c r="M28" i="27"/>
  <c r="AA6" i="27" s="1"/>
  <c r="L26" i="27"/>
  <c r="L31" i="27" s="1"/>
  <c r="C18" i="27"/>
  <c r="O7" i="27"/>
  <c r="O26" i="27" s="1"/>
  <c r="O31" i="27" s="1"/>
  <c r="D18" i="27"/>
  <c r="Z9" i="27" l="1"/>
  <c r="P31" i="27"/>
  <c r="N21" i="27"/>
  <c r="Z5" i="27"/>
  <c r="Z8" i="27"/>
  <c r="N28" i="27"/>
  <c r="O10" i="27"/>
  <c r="O28" i="27" s="1"/>
  <c r="G34" i="3"/>
  <c r="N35" i="27" l="1"/>
  <c r="AA7" i="27"/>
  <c r="AD7" i="27" s="1"/>
  <c r="N34" i="27"/>
  <c r="AA8" i="27"/>
  <c r="AD8" i="27" s="1"/>
  <c r="O35" i="27"/>
  <c r="O34" i="27"/>
  <c r="AC7" i="27"/>
  <c r="N29" i="27"/>
  <c r="O21" i="27"/>
  <c r="B20" i="26"/>
  <c r="B18" i="26"/>
  <c r="B3" i="26"/>
  <c r="P29" i="26" s="1"/>
  <c r="R28" i="26"/>
  <c r="Q28" i="26"/>
  <c r="P28" i="26"/>
  <c r="AA9" i="26" s="1"/>
  <c r="L28" i="26"/>
  <c r="R26" i="26"/>
  <c r="Q26" i="26"/>
  <c r="P26" i="26"/>
  <c r="E24" i="26"/>
  <c r="AC12" i="26"/>
  <c r="AB12" i="26"/>
  <c r="AA12" i="26"/>
  <c r="Z12" i="26"/>
  <c r="Y12" i="26"/>
  <c r="AA11" i="26"/>
  <c r="Y11" i="26"/>
  <c r="B11" i="26"/>
  <c r="AC10" i="26"/>
  <c r="AA10" i="26"/>
  <c r="Y10" i="26"/>
  <c r="B10" i="26"/>
  <c r="AC9" i="26"/>
  <c r="Y9" i="26"/>
  <c r="Y8" i="26"/>
  <c r="Y7" i="26"/>
  <c r="N7" i="26"/>
  <c r="N26" i="26" s="1"/>
  <c r="N31" i="26" s="1"/>
  <c r="Y6" i="26"/>
  <c r="B6" i="26"/>
  <c r="AA5" i="26"/>
  <c r="Y5" i="26"/>
  <c r="B5" i="26"/>
  <c r="L7" i="26" s="1"/>
  <c r="O15" i="23"/>
  <c r="O30" i="25"/>
  <c r="B18" i="25"/>
  <c r="B20" i="25"/>
  <c r="B3" i="25"/>
  <c r="R28" i="25"/>
  <c r="Q28" i="25"/>
  <c r="AA10" i="25" s="1"/>
  <c r="P28" i="25"/>
  <c r="AA9" i="25" s="1"/>
  <c r="L28" i="25"/>
  <c r="AA5" i="25" s="1"/>
  <c r="R26" i="25"/>
  <c r="Q26" i="25"/>
  <c r="E24" i="25"/>
  <c r="AC12" i="25"/>
  <c r="AB12" i="25"/>
  <c r="AA12" i="25"/>
  <c r="Z12" i="25"/>
  <c r="Y12" i="25"/>
  <c r="AA11" i="25"/>
  <c r="Y11" i="25"/>
  <c r="AC10" i="25"/>
  <c r="Y10" i="25"/>
  <c r="Y9" i="25"/>
  <c r="AB8" i="25"/>
  <c r="Y8" i="25"/>
  <c r="Y7" i="25"/>
  <c r="N7" i="25"/>
  <c r="Y6" i="25"/>
  <c r="B6" i="25"/>
  <c r="M10" i="25" s="1"/>
  <c r="Y5" i="25"/>
  <c r="B5" i="25"/>
  <c r="L7" i="25" s="1"/>
  <c r="N7" i="23"/>
  <c r="B6" i="23"/>
  <c r="B3" i="23"/>
  <c r="B10" i="23" s="1"/>
  <c r="AA11" i="23"/>
  <c r="P28" i="23"/>
  <c r="AA9" i="23" s="1"/>
  <c r="L28" i="23"/>
  <c r="AA5" i="23" s="1"/>
  <c r="E24" i="23"/>
  <c r="AC12" i="23"/>
  <c r="AB12" i="23"/>
  <c r="AA12" i="23"/>
  <c r="Z12" i="23"/>
  <c r="Y12" i="23"/>
  <c r="Y11" i="23"/>
  <c r="AC10" i="23"/>
  <c r="AA10" i="23"/>
  <c r="Y10" i="23"/>
  <c r="Y9" i="23"/>
  <c r="Y8" i="23"/>
  <c r="Y7" i="23"/>
  <c r="Y6" i="23"/>
  <c r="Y5" i="23"/>
  <c r="B5" i="23"/>
  <c r="L7" i="23" s="1"/>
  <c r="B18" i="18"/>
  <c r="B11" i="18"/>
  <c r="N28" i="18"/>
  <c r="B3" i="18"/>
  <c r="B5" i="18"/>
  <c r="L7" i="18" s="1"/>
  <c r="D18" i="18"/>
  <c r="C18" i="18"/>
  <c r="G16" i="3"/>
  <c r="G20" i="3" s="1"/>
  <c r="B20" i="23" s="1"/>
  <c r="Q29" i="26" l="1"/>
  <c r="N21" i="18"/>
  <c r="N26" i="25"/>
  <c r="N31" i="25" s="1"/>
  <c r="P7" i="25"/>
  <c r="P26" i="25" s="1"/>
  <c r="P31" i="25" s="1"/>
  <c r="M10" i="23"/>
  <c r="N10" i="23" s="1"/>
  <c r="O10" i="23" s="1"/>
  <c r="O28" i="23" s="1"/>
  <c r="AA8" i="23" s="1"/>
  <c r="O7" i="23"/>
  <c r="O26" i="23" s="1"/>
  <c r="O31" i="23" s="1"/>
  <c r="P7" i="23"/>
  <c r="P26" i="23" s="1"/>
  <c r="P31" i="23" s="1"/>
  <c r="O7" i="26"/>
  <c r="O26" i="26" s="1"/>
  <c r="O31" i="26" s="1"/>
  <c r="B6" i="18"/>
  <c r="O29" i="18"/>
  <c r="O29" i="27"/>
  <c r="AC8" i="27"/>
  <c r="C18" i="23"/>
  <c r="M28" i="26"/>
  <c r="AA6" i="26" s="1"/>
  <c r="M7" i="26"/>
  <c r="M26" i="26" s="1"/>
  <c r="L26" i="26"/>
  <c r="Z7" i="26"/>
  <c r="Z8" i="26"/>
  <c r="C18" i="26"/>
  <c r="O7" i="25"/>
  <c r="O26" i="25" s="1"/>
  <c r="O31" i="25" s="1"/>
  <c r="D18" i="26"/>
  <c r="M27" i="26"/>
  <c r="Z7" i="25"/>
  <c r="M7" i="25"/>
  <c r="M26" i="25" s="1"/>
  <c r="M31" i="25" s="1"/>
  <c r="L26" i="25"/>
  <c r="L31" i="25" s="1"/>
  <c r="M28" i="25"/>
  <c r="AA6" i="25" s="1"/>
  <c r="N10" i="25"/>
  <c r="C18" i="25"/>
  <c r="Q29" i="25"/>
  <c r="D18" i="25"/>
  <c r="N29" i="18"/>
  <c r="D18" i="23"/>
  <c r="M7" i="23"/>
  <c r="L26" i="23"/>
  <c r="L31" i="23" s="1"/>
  <c r="G31" i="3"/>
  <c r="G30" i="3"/>
  <c r="B10" i="18"/>
  <c r="M10" i="18"/>
  <c r="M28" i="18" s="1"/>
  <c r="B7" i="18"/>
  <c r="M21" i="18"/>
  <c r="B23" i="18"/>
  <c r="N21" i="23" l="1"/>
  <c r="O21" i="23" s="1"/>
  <c r="AC8" i="23" s="1"/>
  <c r="M21" i="26"/>
  <c r="M29" i="26" s="1"/>
  <c r="B11" i="27"/>
  <c r="B10" i="27" s="1"/>
  <c r="B18" i="27"/>
  <c r="M28" i="23"/>
  <c r="AA6" i="23" s="1"/>
  <c r="N28" i="23"/>
  <c r="AA7" i="23" s="1"/>
  <c r="F23" i="26"/>
  <c r="N21" i="26"/>
  <c r="N29" i="26" s="1"/>
  <c r="M21" i="25"/>
  <c r="P21" i="25" s="1"/>
  <c r="Z8" i="25"/>
  <c r="R21" i="26"/>
  <c r="R29" i="26" s="1"/>
  <c r="E23" i="26"/>
  <c r="N21" i="25"/>
  <c r="O21" i="25" s="1"/>
  <c r="N28" i="25"/>
  <c r="O10" i="25"/>
  <c r="O28" i="25" s="1"/>
  <c r="D23" i="26"/>
  <c r="N28" i="26"/>
  <c r="AA7" i="26" s="1"/>
  <c r="O28" i="26"/>
  <c r="AA8" i="26" s="1"/>
  <c r="AC6" i="26"/>
  <c r="L21" i="26"/>
  <c r="C23" i="26"/>
  <c r="B7" i="26"/>
  <c r="B8" i="26" s="1"/>
  <c r="P27" i="26"/>
  <c r="P31" i="26" s="1"/>
  <c r="Q27" i="26"/>
  <c r="Q31" i="26" s="1"/>
  <c r="L27" i="26"/>
  <c r="R27" i="26" s="1"/>
  <c r="R31" i="26" s="1"/>
  <c r="B23" i="26"/>
  <c r="M31" i="26"/>
  <c r="D23" i="25"/>
  <c r="C23" i="25"/>
  <c r="B18" i="23"/>
  <c r="B7" i="23" s="1"/>
  <c r="B8" i="23" s="1"/>
  <c r="N29" i="23"/>
  <c r="B20" i="18"/>
  <c r="AC7" i="23"/>
  <c r="N26" i="23"/>
  <c r="N31" i="23" s="1"/>
  <c r="M26" i="23"/>
  <c r="M31" i="23" s="1"/>
  <c r="L21" i="18"/>
  <c r="M29" i="18"/>
  <c r="O29" i="23" l="1"/>
  <c r="AC9" i="25"/>
  <c r="P29" i="25"/>
  <c r="R21" i="27"/>
  <c r="B23" i="27"/>
  <c r="D23" i="27"/>
  <c r="M21" i="27"/>
  <c r="P21" i="27" s="1"/>
  <c r="E23" i="27"/>
  <c r="C23" i="27"/>
  <c r="B7" i="27"/>
  <c r="B8" i="27" s="1"/>
  <c r="F23" i="27"/>
  <c r="AC11" i="26"/>
  <c r="AC8" i="25"/>
  <c r="O29" i="25"/>
  <c r="Z11" i="26"/>
  <c r="Z6" i="26"/>
  <c r="Z10" i="26"/>
  <c r="O34" i="25"/>
  <c r="AA8" i="25"/>
  <c r="AD8" i="25" s="1"/>
  <c r="O35" i="25"/>
  <c r="O21" i="26"/>
  <c r="O29" i="26" s="1"/>
  <c r="AC7" i="26"/>
  <c r="Z9" i="26"/>
  <c r="L29" i="26"/>
  <c r="AC5" i="26"/>
  <c r="G22" i="26"/>
  <c r="G21" i="26"/>
  <c r="G20" i="26"/>
  <c r="L31" i="26"/>
  <c r="AA7" i="25"/>
  <c r="N34" i="25"/>
  <c r="B10" i="25"/>
  <c r="B7" i="25"/>
  <c r="B8" i="25" s="1"/>
  <c r="B23" i="25"/>
  <c r="E23" i="25"/>
  <c r="R21" i="25"/>
  <c r="F23" i="25"/>
  <c r="AC7" i="25"/>
  <c r="N29" i="25"/>
  <c r="M21" i="23"/>
  <c r="P21" i="23" s="1"/>
  <c r="C23" i="23"/>
  <c r="D23" i="23"/>
  <c r="E23" i="23"/>
  <c r="B23" i="23"/>
  <c r="F23" i="23"/>
  <c r="Z8" i="23"/>
  <c r="AC9" i="23" l="1"/>
  <c r="P29" i="23"/>
  <c r="AC9" i="27"/>
  <c r="P29" i="27"/>
  <c r="M29" i="27"/>
  <c r="AC6" i="27"/>
  <c r="L21" i="27"/>
  <c r="G20" i="27"/>
  <c r="G21" i="27"/>
  <c r="AC11" i="27"/>
  <c r="R29" i="27"/>
  <c r="AC8" i="26"/>
  <c r="Z5" i="26"/>
  <c r="R29" i="25"/>
  <c r="AC11" i="25"/>
  <c r="Q27" i="25"/>
  <c r="Q31" i="25" s="1"/>
  <c r="L21" i="25"/>
  <c r="AC6" i="25"/>
  <c r="M29" i="25"/>
  <c r="G20" i="25"/>
  <c r="G21" i="25"/>
  <c r="G21" i="23"/>
  <c r="G20" i="23"/>
  <c r="Z10" i="23"/>
  <c r="Z9" i="23"/>
  <c r="AC11" i="23"/>
  <c r="M29" i="23"/>
  <c r="L21" i="23"/>
  <c r="AC6" i="23"/>
  <c r="Z6" i="23"/>
  <c r="Z7" i="23"/>
  <c r="L29" i="27" l="1"/>
  <c r="AC5" i="27"/>
  <c r="L29" i="25"/>
  <c r="AC5" i="25"/>
  <c r="R27" i="25"/>
  <c r="R31" i="25" s="1"/>
  <c r="Z6" i="25"/>
  <c r="Z10" i="25"/>
  <c r="Z9" i="25"/>
  <c r="AC5" i="23"/>
  <c r="L29" i="23"/>
  <c r="Z11" i="23"/>
  <c r="Z5" i="23"/>
  <c r="Z5" i="25" l="1"/>
  <c r="Z11" i="25"/>
  <c r="G21" i="3" l="1"/>
  <c r="C19" i="27" l="1"/>
  <c r="B19" i="27"/>
  <c r="D19" i="27"/>
  <c r="B19" i="26"/>
  <c r="C19" i="26"/>
  <c r="C24" i="26" s="1"/>
  <c r="D19" i="26"/>
  <c r="D24" i="26" s="1"/>
  <c r="C19" i="25"/>
  <c r="B19" i="25"/>
  <c r="D19" i="25"/>
  <c r="B19" i="23"/>
  <c r="D19" i="23"/>
  <c r="C19" i="18"/>
  <c r="C19" i="23"/>
  <c r="B19" i="18"/>
  <c r="D19" i="18"/>
  <c r="L29" i="18"/>
  <c r="G19" i="27" l="1"/>
  <c r="B24" i="26"/>
  <c r="G19" i="26"/>
  <c r="G24" i="26" s="1"/>
  <c r="M30" i="26" s="1"/>
  <c r="G19" i="25"/>
  <c r="G19" i="23"/>
  <c r="B8" i="18"/>
  <c r="B26" i="3"/>
  <c r="O30" i="26" l="1"/>
  <c r="N30" i="26"/>
  <c r="Q30" i="26"/>
  <c r="P30" i="26"/>
  <c r="R30" i="26"/>
  <c r="L30" i="26"/>
  <c r="R28" i="18"/>
  <c r="AB5" i="26" l="1"/>
  <c r="AD5" i="26" s="1"/>
  <c r="L35" i="26"/>
  <c r="L34" i="26"/>
  <c r="Q35" i="26"/>
  <c r="AB10" i="26"/>
  <c r="AD10" i="26" s="1"/>
  <c r="Q34" i="26"/>
  <c r="R35" i="26"/>
  <c r="AB11" i="26"/>
  <c r="AD11" i="26" s="1"/>
  <c r="R34" i="26"/>
  <c r="O35" i="26"/>
  <c r="AB8" i="26"/>
  <c r="AD8" i="26" s="1"/>
  <c r="O34" i="26"/>
  <c r="M35" i="26"/>
  <c r="AB6" i="26"/>
  <c r="AD6" i="26" s="1"/>
  <c r="M34" i="26"/>
  <c r="N35" i="26"/>
  <c r="AB7" i="26"/>
  <c r="AD7" i="26" s="1"/>
  <c r="N34" i="26"/>
  <c r="AB9" i="26"/>
  <c r="AD9" i="26" s="1"/>
  <c r="P35" i="26"/>
  <c r="P34" i="26"/>
  <c r="N35" i="25"/>
  <c r="AB7" i="25"/>
  <c r="AD7" i="25" s="1"/>
  <c r="L26" i="18"/>
  <c r="M7" i="18"/>
  <c r="N7" i="18" s="1"/>
  <c r="O7" i="18"/>
  <c r="AA11" i="18"/>
  <c r="Q28" i="18"/>
  <c r="AA10" i="18" s="1"/>
  <c r="P28" i="18"/>
  <c r="O28" i="18"/>
  <c r="AA8" i="18" s="1"/>
  <c r="AA7" i="18"/>
  <c r="AA6" i="18"/>
  <c r="L28" i="18"/>
  <c r="AA5" i="18" s="1"/>
  <c r="AC12" i="18"/>
  <c r="AB12" i="18"/>
  <c r="AA12" i="18"/>
  <c r="Z12" i="18"/>
  <c r="Y12" i="18"/>
  <c r="Y11" i="18"/>
  <c r="Y10" i="18"/>
  <c r="AA9" i="18"/>
  <c r="Y9" i="18"/>
  <c r="Y8" i="18"/>
  <c r="Y7" i="18"/>
  <c r="Y6" i="18"/>
  <c r="Y5" i="18"/>
  <c r="R21" i="18" l="1"/>
  <c r="R29" i="18" s="1"/>
  <c r="R26" i="18"/>
  <c r="Q26" i="18"/>
  <c r="P29" i="18"/>
  <c r="Q29" i="18"/>
  <c r="M26" i="18"/>
  <c r="M31" i="18" s="1"/>
  <c r="B27" i="3"/>
  <c r="B29" i="3" s="1"/>
  <c r="D22" i="25" l="1"/>
  <c r="D24" i="25" s="1"/>
  <c r="D22" i="27"/>
  <c r="D24" i="27" s="1"/>
  <c r="B22" i="18"/>
  <c r="C22" i="23"/>
  <c r="C24" i="23" s="1"/>
  <c r="C22" i="18"/>
  <c r="B22" i="23"/>
  <c r="C22" i="27"/>
  <c r="C24" i="27" s="1"/>
  <c r="B22" i="25"/>
  <c r="D22" i="23"/>
  <c r="D24" i="23" s="1"/>
  <c r="C22" i="25"/>
  <c r="C24" i="25" s="1"/>
  <c r="B22" i="27"/>
  <c r="D22" i="18"/>
  <c r="L27" i="18"/>
  <c r="L31" i="18" s="1"/>
  <c r="F23" i="18"/>
  <c r="Z6" i="18"/>
  <c r="AC10" i="18"/>
  <c r="P27" i="18"/>
  <c r="E23" i="18"/>
  <c r="Q27" i="18"/>
  <c r="Q31" i="18" s="1"/>
  <c r="Z10" i="18" s="1"/>
  <c r="AC11" i="18"/>
  <c r="C23" i="18"/>
  <c r="AC7" i="18"/>
  <c r="D23" i="18"/>
  <c r="AC9" i="18"/>
  <c r="N26" i="18"/>
  <c r="N31" i="18" s="1"/>
  <c r="G22" i="27" l="1"/>
  <c r="G24" i="27" s="1"/>
  <c r="B24" i="27"/>
  <c r="G22" i="23"/>
  <c r="G24" i="23" s="1"/>
  <c r="B24" i="23"/>
  <c r="G22" i="25"/>
  <c r="G24" i="25" s="1"/>
  <c r="B24" i="25"/>
  <c r="G20" i="18"/>
  <c r="G22" i="18"/>
  <c r="G21" i="18"/>
  <c r="G19" i="18"/>
  <c r="AC6" i="18"/>
  <c r="R27" i="18"/>
  <c r="R31" i="18" s="1"/>
  <c r="Z11" i="18" s="1"/>
  <c r="AC8" i="18"/>
  <c r="Z7" i="18"/>
  <c r="P26" i="18"/>
  <c r="P31" i="18" s="1"/>
  <c r="O26" i="18"/>
  <c r="O31" i="18" s="1"/>
  <c r="Z5" i="18"/>
  <c r="B7" i="3"/>
  <c r="D3" i="3"/>
  <c r="D4" i="3"/>
  <c r="D5" i="3"/>
  <c r="C6" i="3"/>
  <c r="O30" i="23" l="1"/>
  <c r="M30" i="23"/>
  <c r="N30" i="23"/>
  <c r="L30" i="23"/>
  <c r="P30" i="23"/>
  <c r="R30" i="25"/>
  <c r="M30" i="25"/>
  <c r="P30" i="25"/>
  <c r="Q30" i="25"/>
  <c r="L30" i="25"/>
  <c r="Q30" i="27"/>
  <c r="P30" i="27"/>
  <c r="R30" i="27"/>
  <c r="M30" i="27"/>
  <c r="L30" i="27"/>
  <c r="L34" i="27" s="1"/>
  <c r="G24" i="18"/>
  <c r="D24" i="18"/>
  <c r="C24" i="18"/>
  <c r="E24" i="18"/>
  <c r="Z8" i="18"/>
  <c r="Z9" i="18"/>
  <c r="L35" i="25" l="1"/>
  <c r="AB5" i="25"/>
  <c r="AD5" i="25" s="1"/>
  <c r="L34" i="25"/>
  <c r="R35" i="25"/>
  <c r="AB11" i="25"/>
  <c r="AD11" i="25" s="1"/>
  <c r="R34" i="25"/>
  <c r="AB7" i="23"/>
  <c r="AD7" i="23" s="1"/>
  <c r="N35" i="23"/>
  <c r="N34" i="23"/>
  <c r="R35" i="27"/>
  <c r="AB11" i="27"/>
  <c r="AD11" i="27" s="1"/>
  <c r="R34" i="27"/>
  <c r="Q35" i="25"/>
  <c r="AB10" i="25"/>
  <c r="AD10" i="25" s="1"/>
  <c r="Q34" i="25"/>
  <c r="P35" i="23"/>
  <c r="AB9" i="23"/>
  <c r="AD9" i="23" s="1"/>
  <c r="P34" i="23"/>
  <c r="AB10" i="23"/>
  <c r="AD10" i="23" s="1"/>
  <c r="M35" i="27"/>
  <c r="AB6" i="27"/>
  <c r="AD6" i="27" s="1"/>
  <c r="M34" i="27"/>
  <c r="P35" i="27"/>
  <c r="AB9" i="27"/>
  <c r="AD9" i="27" s="1"/>
  <c r="P34" i="27"/>
  <c r="P34" i="25"/>
  <c r="AB9" i="25"/>
  <c r="AD9" i="25" s="1"/>
  <c r="P35" i="25"/>
  <c r="L34" i="23"/>
  <c r="AB5" i="23"/>
  <c r="AD5" i="23" s="1"/>
  <c r="L35" i="23"/>
  <c r="M35" i="23"/>
  <c r="AB6" i="23"/>
  <c r="AD6" i="23" s="1"/>
  <c r="M34" i="23"/>
  <c r="AB5" i="27"/>
  <c r="AD5" i="27" s="1"/>
  <c r="L35" i="27"/>
  <c r="Q35" i="27"/>
  <c r="AB10" i="27"/>
  <c r="AD10" i="27" s="1"/>
  <c r="Q34" i="27"/>
  <c r="AB6" i="25"/>
  <c r="AD6" i="25" s="1"/>
  <c r="M34" i="25"/>
  <c r="M35" i="25"/>
  <c r="AB11" i="23"/>
  <c r="AD11" i="23" s="1"/>
  <c r="O35" i="23"/>
  <c r="O34" i="23"/>
  <c r="AB8" i="23"/>
  <c r="AD8" i="23" s="1"/>
  <c r="M30" i="18"/>
  <c r="N34" i="18"/>
  <c r="B24" i="18"/>
  <c r="AC5" i="18"/>
  <c r="R30" i="18" l="1"/>
  <c r="Q30" i="18"/>
  <c r="P30" i="18"/>
  <c r="M35" i="18"/>
  <c r="L30" i="18"/>
  <c r="AB5" i="18" s="1"/>
  <c r="AD5" i="18" s="1"/>
  <c r="AB11" i="18" l="1"/>
  <c r="AD11" i="18" s="1"/>
  <c r="R35" i="18"/>
  <c r="R34" i="18"/>
  <c r="AB6" i="18"/>
  <c r="AD6" i="18" s="1"/>
  <c r="M34" i="18"/>
  <c r="L35" i="18"/>
  <c r="L34" i="18"/>
  <c r="AB10" i="18"/>
  <c r="AD10" i="18" s="1"/>
  <c r="Q34" i="18"/>
  <c r="Q35" i="18"/>
  <c r="P35" i="18"/>
  <c r="AB9" i="18"/>
  <c r="AD9" i="18" s="1"/>
  <c r="P34" i="18"/>
  <c r="N35" i="18"/>
  <c r="AB7" i="18"/>
  <c r="AD7" i="18" s="1"/>
  <c r="O35" i="18"/>
  <c r="AB8" i="18"/>
  <c r="AD8" i="18" s="1"/>
  <c r="O34" i="18"/>
</calcChain>
</file>

<file path=xl/sharedStrings.xml><?xml version="1.0" encoding="utf-8"?>
<sst xmlns="http://schemas.openxmlformats.org/spreadsheetml/2006/main" count="514" uniqueCount="166">
  <si>
    <t>Part 1: Population Asset Data</t>
  </si>
  <si>
    <t>Option #</t>
  </si>
  <si>
    <t>Option 1</t>
  </si>
  <si>
    <t>Option 2</t>
  </si>
  <si>
    <t>Option 3</t>
  </si>
  <si>
    <t>Option 4</t>
  </si>
  <si>
    <t>Option 5</t>
  </si>
  <si>
    <t>Option 6</t>
  </si>
  <si>
    <t>Option 7</t>
  </si>
  <si>
    <t>Option 8</t>
  </si>
  <si>
    <t>Failure Cost</t>
  </si>
  <si>
    <t>Failure Rate</t>
  </si>
  <si>
    <t>Purchase Cost</t>
  </si>
  <si>
    <t>Description</t>
  </si>
  <si>
    <t>Average Fleet Failure Rate</t>
  </si>
  <si>
    <t>Failures</t>
  </si>
  <si>
    <t>Purchase</t>
  </si>
  <si>
    <r>
      <t xml:space="preserve">Fleet </t>
    </r>
    <r>
      <rPr>
        <sz val="11"/>
        <color theme="1"/>
        <rFont val="Calibri"/>
        <family val="2"/>
      </rPr>
      <t>λ</t>
    </r>
  </si>
  <si>
    <t>Current Management Option</t>
  </si>
  <si>
    <t>Average Life</t>
  </si>
  <si>
    <t>Years</t>
  </si>
  <si>
    <t>Act 3 Cost</t>
  </si>
  <si>
    <t>Act 4 Cost</t>
  </si>
  <si>
    <t>Act 5 Cost</t>
  </si>
  <si>
    <t>Act 1 Interval</t>
  </si>
  <si>
    <t>Failure Mode Data:</t>
  </si>
  <si>
    <t>FM1</t>
  </si>
  <si>
    <t>FM2</t>
  </si>
  <si>
    <t>FM3</t>
  </si>
  <si>
    <t>FM4</t>
  </si>
  <si>
    <t>FM5</t>
  </si>
  <si>
    <t>Weighted Average</t>
  </si>
  <si>
    <t>Act 2 Interval</t>
  </si>
  <si>
    <t>Act 3 Interval</t>
  </si>
  <si>
    <t>Consequence - Reliability</t>
  </si>
  <si>
    <t>Act 4 Interval</t>
  </si>
  <si>
    <t>Consequence  - Safety</t>
  </si>
  <si>
    <t>Act 5 Interval</t>
  </si>
  <si>
    <t>Consequence - Enviro</t>
  </si>
  <si>
    <t>Consequence - Other</t>
  </si>
  <si>
    <t>Total Cost</t>
  </si>
  <si>
    <t>Installation</t>
  </si>
  <si>
    <t>Lifetime</t>
  </si>
  <si>
    <t>Annual Maint Cost</t>
  </si>
  <si>
    <t>Annual Failures</t>
  </si>
  <si>
    <t>Annual Failure Cost</t>
  </si>
  <si>
    <t>Annual Capex</t>
  </si>
  <si>
    <t>%RAV</t>
  </si>
  <si>
    <t>Comment</t>
  </si>
  <si>
    <t>Asset Life Cycle Costing</t>
  </si>
  <si>
    <t>Annual Proactice Replacements</t>
  </si>
  <si>
    <t>Fleet Annual # of failures</t>
  </si>
  <si>
    <t>Total Assets in Group</t>
  </si>
  <si>
    <t>Total Assets in SubGroup</t>
  </si>
  <si>
    <t>Asset</t>
  </si>
  <si>
    <t>Vehicle</t>
  </si>
  <si>
    <t>Annual # of Events</t>
  </si>
  <si>
    <t>Comment on Outcome</t>
  </si>
  <si>
    <t>Annual Cost per Asset</t>
  </si>
  <si>
    <t>LV Poles</t>
  </si>
  <si>
    <t>11/22kV Poles</t>
  </si>
  <si>
    <t>66kV Poles</t>
  </si>
  <si>
    <t>LTI</t>
  </si>
  <si>
    <t>Death to Public</t>
  </si>
  <si>
    <t>Death to Staff</t>
  </si>
  <si>
    <t>Conductor (All)</t>
  </si>
  <si>
    <t>Underground Cable &gt;1kV</t>
  </si>
  <si>
    <t>Distribution Transformer</t>
  </si>
  <si>
    <t>ZSS Circuit Breaker</t>
  </si>
  <si>
    <t>HV Insulators</t>
  </si>
  <si>
    <t>ZSS Power Transformer</t>
  </si>
  <si>
    <t>Instrument Transformer</t>
  </si>
  <si>
    <t>VSL</t>
  </si>
  <si>
    <t>Public_DF</t>
  </si>
  <si>
    <t>Staff_DF</t>
  </si>
  <si>
    <t>IRU</t>
  </si>
  <si>
    <t>Median IRU (HBRA)</t>
  </si>
  <si>
    <t>Safety Constants</t>
  </si>
  <si>
    <t>Median IRU (LBRA)</t>
  </si>
  <si>
    <t>Ignition Risk Unit</t>
  </si>
  <si>
    <t>HBRA F-Factor Cost</t>
  </si>
  <si>
    <t>LBRA F-Factor Cost</t>
  </si>
  <si>
    <t>Fire Constants</t>
  </si>
  <si>
    <t>Asset-Specific Constants for LCC Model</t>
  </si>
  <si>
    <t>Parameter</t>
  </si>
  <si>
    <t>Value</t>
  </si>
  <si>
    <t>Proportion of all Failures</t>
  </si>
  <si>
    <t>Part 3: Model Outputs</t>
  </si>
  <si>
    <t>Adjust Chart Titles / Data Range as required.</t>
  </si>
  <si>
    <t>Safety Probabilities</t>
  </si>
  <si>
    <t>Inspection Cost</t>
  </si>
  <si>
    <t>Installation Cost</t>
  </si>
  <si>
    <t>Break-in_DF</t>
  </si>
  <si>
    <t>VLTI</t>
  </si>
  <si>
    <t>Vegetation</t>
  </si>
  <si>
    <t>km</t>
  </si>
  <si>
    <t>Part 2: Management Options per km</t>
  </si>
  <si>
    <t>Do No maintenance</t>
  </si>
  <si>
    <t>Inspection</t>
  </si>
  <si>
    <t>COST_REPL_SERVICE</t>
  </si>
  <si>
    <t>RMP Unit code 2018</t>
  </si>
  <si>
    <t>VCR</t>
  </si>
  <si>
    <t># PVC Twisted</t>
  </si>
  <si>
    <t># Underground</t>
  </si>
  <si>
    <t># Neutral Screened</t>
  </si>
  <si>
    <t># ABC (xlpe)</t>
  </si>
  <si>
    <t># Other Overhead</t>
  </si>
  <si>
    <t>Failures/1000/Yr</t>
  </si>
  <si>
    <t>Services</t>
  </si>
  <si>
    <t>Proactive Replacement</t>
  </si>
  <si>
    <t>AMI program</t>
  </si>
  <si>
    <t>COST_REPL_SERVICE_UG</t>
  </si>
  <si>
    <t>RMU Unit code 2018</t>
  </si>
  <si>
    <t>Shocks per annum post-NST</t>
  </si>
  <si>
    <t>Shocks per annum post-remDisc</t>
  </si>
  <si>
    <t>NUM_REPL_ANNUAL</t>
  </si>
  <si>
    <t>rounded average annual replacements</t>
  </si>
  <si>
    <t>POC_Outage</t>
  </si>
  <si>
    <t>PoC_Shock</t>
  </si>
  <si>
    <t>Vehicle Faults / yr</t>
  </si>
  <si>
    <t>Approx. from Tobie's data. 2018 only.</t>
  </si>
  <si>
    <t>Average # of shocks /pa. Tobie's data</t>
  </si>
  <si>
    <t>Vegetation Faults/yr</t>
  </si>
  <si>
    <t>0.75kW (3kW average house peak * 50% MD * 50% utilisation) x 1 hour outage</t>
  </si>
  <si>
    <t>NS_Shocks_yr</t>
  </si>
  <si>
    <t>PVC_Shocks_Yr</t>
  </si>
  <si>
    <t>Other_Shocks_Yr</t>
  </si>
  <si>
    <t>UG_Shocks_Yr</t>
  </si>
  <si>
    <t>Mechanical</t>
  </si>
  <si>
    <t>Asset Data</t>
  </si>
  <si>
    <t>Only one year of data - no historic as change in policy (AMI detection and remote disc program in operation)</t>
  </si>
  <si>
    <t>Mech/Elec Faults/yr</t>
  </si>
  <si>
    <t>CoC_Service_Outage</t>
  </si>
  <si>
    <t>was 80/20 now 20/80 with AMI detection program. Mech Failures only</t>
  </si>
  <si>
    <t>Shock Data by Service Type</t>
  </si>
  <si>
    <t>Failure Data by Service Type</t>
  </si>
  <si>
    <t>Note: doesn't get captured this way - assume shocks are proportional to failures to get a split.</t>
  </si>
  <si>
    <t>NS_Failures_yr</t>
  </si>
  <si>
    <t>PVC_Failures_yr</t>
  </si>
  <si>
    <t>Other_Failures_yr</t>
  </si>
  <si>
    <t>UG_Failures_Yr</t>
  </si>
  <si>
    <t>Condition Monitoring</t>
  </si>
  <si>
    <t>Inspect and Maintain</t>
  </si>
  <si>
    <t>PoC_Shock_PVC</t>
  </si>
  <si>
    <t xml:space="preserve">PVC service failures cant be detected by AMI analytics. </t>
  </si>
  <si>
    <t>NS are older, more likely to fail. But more likely to be detected by analytics</t>
  </si>
  <si>
    <t>Proactive Replacement - 5Y</t>
  </si>
  <si>
    <t>Proactive Replacement - 10Y</t>
  </si>
  <si>
    <t>Fire Starts/Yr</t>
  </si>
  <si>
    <t>average figure</t>
  </si>
  <si>
    <t>Fire Start PoC</t>
  </si>
  <si>
    <t>Weighting to LBRA</t>
  </si>
  <si>
    <t>Average F-Factor</t>
  </si>
  <si>
    <t>Consider as connector + twisted service shocks</t>
  </si>
  <si>
    <t>Neutral screen service shocks</t>
  </si>
  <si>
    <t>COST_INSPECT_SERVICE</t>
  </si>
  <si>
    <t>estimate rate</t>
  </si>
  <si>
    <t>Lifetime (average)</t>
  </si>
  <si>
    <t>Installation cost</t>
  </si>
  <si>
    <t>Inspection cost</t>
  </si>
  <si>
    <t>Failure cost</t>
  </si>
  <si>
    <t>No maintenance</t>
  </si>
  <si>
    <t>Proactive replacement (5Y)</t>
  </si>
  <si>
    <t>Proactive replacement (10Y)</t>
  </si>
  <si>
    <t>Inspect and maintain</t>
  </si>
  <si>
    <t>Condition monitoring (AMI)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</si>
</sst>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  <numFmt numFmtId="166" formatCode="_-* #,##0.000_-;\-* #,##0.000_-;_-* &quot;-&quot;??_-;_-@_-"/>
    <numFmt numFmtId="167" formatCode="0.0%"/>
    <numFmt numFmtId="168" formatCode="0.0"/>
    <numFmt numFmtId="169" formatCode="_-* #,##0.00000_-;\-* #,##0.00000_-;_-* &quot;-&quot;??_-;_-@_-"/>
    <numFmt numFmtId="171" formatCode="_-&quot;$&quot;* #,##0.0000_-;\-&quot;$&quot;* #,##0.0000_-;_-&quot;$&quot;* &quot;-&quot;??_-;_-@_-"/>
    <numFmt numFmtId="172" formatCode="_-* #,##0.0_-;\-* #,##0.0_-;_-* &quot;-&quot;??_-;_-@_-"/>
    <numFmt numFmtId="173" formatCode="_-&quot;$&quot;* #,##0.0_-;\-&quot;$&quot;* #,##0.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quotePrefix="1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44" fontId="0" fillId="0" borderId="1" xfId="0" applyNumberFormat="1" applyBorder="1"/>
    <xf numFmtId="0" fontId="4" fillId="0" borderId="0" xfId="0" applyFont="1"/>
    <xf numFmtId="9" fontId="0" fillId="0" borderId="1" xfId="3" applyFont="1" applyBorder="1"/>
    <xf numFmtId="10" fontId="0" fillId="0" borderId="1" xfId="3" applyNumberFormat="1" applyFont="1" applyBorder="1"/>
    <xf numFmtId="168" fontId="0" fillId="0" borderId="1" xfId="0" applyNumberFormat="1" applyBorder="1"/>
    <xf numFmtId="165" fontId="0" fillId="0" borderId="1" xfId="1" applyNumberFormat="1" applyFont="1" applyBorder="1"/>
    <xf numFmtId="0" fontId="0" fillId="2" borderId="1" xfId="0" applyFill="1" applyBorder="1"/>
    <xf numFmtId="164" fontId="0" fillId="0" borderId="1" xfId="2" applyNumberFormat="1" applyFont="1" applyBorder="1"/>
    <xf numFmtId="44" fontId="0" fillId="2" borderId="1" xfId="2" applyFont="1" applyFill="1" applyBorder="1"/>
    <xf numFmtId="165" fontId="0" fillId="0" borderId="1" xfId="0" applyNumberFormat="1" applyFill="1" applyBorder="1"/>
    <xf numFmtId="43" fontId="2" fillId="2" borderId="1" xfId="0" applyNumberFormat="1" applyFont="1" applyFill="1" applyBorder="1"/>
    <xf numFmtId="172" fontId="0" fillId="0" borderId="1" xfId="1" applyNumberFormat="1" applyFont="1" applyBorder="1"/>
    <xf numFmtId="172" fontId="0" fillId="0" borderId="1" xfId="2" applyNumberFormat="1" applyFont="1" applyBorder="1"/>
    <xf numFmtId="172" fontId="0" fillId="0" borderId="1" xfId="0" applyNumberFormat="1" applyBorder="1"/>
    <xf numFmtId="167" fontId="0" fillId="0" borderId="1" xfId="3" applyNumberFormat="1" applyFont="1" applyBorder="1"/>
    <xf numFmtId="164" fontId="0" fillId="0" borderId="0" xfId="2" applyNumberFormat="1" applyFont="1"/>
    <xf numFmtId="0" fontId="5" fillId="4" borderId="0" xfId="0" applyFont="1" applyFill="1" applyAlignment="1">
      <alignment vertical="top"/>
    </xf>
    <xf numFmtId="0" fontId="6" fillId="4" borderId="0" xfId="0" applyFont="1" applyFill="1"/>
    <xf numFmtId="0" fontId="6" fillId="4" borderId="0" xfId="0" applyFont="1" applyFill="1" applyAlignment="1"/>
    <xf numFmtId="168" fontId="0" fillId="0" borderId="1" xfId="0" applyNumberFormat="1" applyFill="1" applyBorder="1"/>
    <xf numFmtId="164" fontId="0" fillId="5" borderId="1" xfId="2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168" fontId="0" fillId="5" borderId="1" xfId="0" applyNumberFormat="1" applyFill="1" applyBorder="1"/>
    <xf numFmtId="164" fontId="0" fillId="5" borderId="1" xfId="2" applyNumberFormat="1" applyFont="1" applyFill="1" applyBorder="1"/>
    <xf numFmtId="9" fontId="0" fillId="5" borderId="1" xfId="3" applyNumberFormat="1" applyFont="1" applyFill="1" applyBorder="1"/>
    <xf numFmtId="164" fontId="0" fillId="0" borderId="1" xfId="2" applyNumberFormat="1" applyFont="1" applyFill="1" applyBorder="1"/>
    <xf numFmtId="44" fontId="0" fillId="0" borderId="1" xfId="2" applyNumberFormat="1" applyFont="1" applyFill="1" applyBorder="1"/>
    <xf numFmtId="164" fontId="0" fillId="0" borderId="1" xfId="0" applyNumberFormat="1" applyFill="1" applyBorder="1"/>
    <xf numFmtId="0" fontId="0" fillId="5" borderId="1" xfId="0" applyFill="1" applyBorder="1" applyAlignment="1">
      <alignment horizontal="center" vertical="center" wrapText="1"/>
    </xf>
    <xf numFmtId="44" fontId="0" fillId="5" borderId="1" xfId="2" applyFont="1" applyFill="1" applyBorder="1" applyAlignment="1">
      <alignment horizontal="center" vertical="center" wrapText="1"/>
    </xf>
    <xf numFmtId="169" fontId="0" fillId="0" borderId="1" xfId="1" applyNumberFormat="1" applyFont="1" applyFill="1" applyBorder="1"/>
    <xf numFmtId="171" fontId="0" fillId="0" borderId="1" xfId="2" applyNumberFormat="1" applyFont="1" applyFill="1" applyBorder="1"/>
    <xf numFmtId="166" fontId="0" fillId="0" borderId="1" xfId="1" applyNumberFormat="1" applyFont="1" applyFill="1" applyBorder="1"/>
    <xf numFmtId="173" fontId="0" fillId="0" borderId="1" xfId="2" applyNumberFormat="1" applyFont="1" applyFill="1" applyBorder="1"/>
    <xf numFmtId="10" fontId="0" fillId="0" borderId="1" xfId="3" applyNumberFormat="1" applyFont="1" applyFill="1" applyBorder="1"/>
    <xf numFmtId="0" fontId="7" fillId="4" borderId="0" xfId="0" applyFont="1" applyFill="1"/>
    <xf numFmtId="0" fontId="7" fillId="3" borderId="0" xfId="0" applyFont="1" applyFill="1"/>
    <xf numFmtId="0" fontId="6" fillId="3" borderId="0" xfId="0" applyFont="1" applyFill="1"/>
    <xf numFmtId="0" fontId="0" fillId="0" borderId="0" xfId="0" applyFill="1"/>
    <xf numFmtId="44" fontId="0" fillId="0" borderId="0" xfId="2" applyFont="1" applyFill="1"/>
    <xf numFmtId="44" fontId="0" fillId="0" borderId="0" xfId="0" applyNumberFormat="1" applyFill="1"/>
    <xf numFmtId="167" fontId="0" fillId="0" borderId="0" xfId="3" applyNumberFormat="1" applyFont="1" applyFill="1"/>
    <xf numFmtId="0" fontId="2" fillId="0" borderId="0" xfId="0" applyFont="1" applyFill="1"/>
    <xf numFmtId="0" fontId="6" fillId="4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2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/>
    </xf>
    <xf numFmtId="165" fontId="0" fillId="0" borderId="1" xfId="1" applyNumberFormat="1" applyFont="1" applyFill="1" applyBorder="1"/>
    <xf numFmtId="0" fontId="5" fillId="4" borderId="0" xfId="0" applyFont="1" applyFill="1" applyAlignment="1">
      <alignment horizontal="left" vertical="center"/>
    </xf>
    <xf numFmtId="172" fontId="0" fillId="0" borderId="1" xfId="1" applyNumberFormat="1" applyFont="1" applyFill="1" applyBorder="1"/>
    <xf numFmtId="0" fontId="5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6" fillId="4" borderId="0" xfId="0" applyFont="1" applyFill="1" applyAlignment="1">
      <alignment horizontal="left" vertical="center"/>
    </xf>
    <xf numFmtId="0" fontId="0" fillId="0" borderId="0" xfId="0" applyFill="1" applyAlignment="1"/>
    <xf numFmtId="0" fontId="0" fillId="0" borderId="2" xfId="0" applyFill="1" applyBorder="1" applyAlignment="1">
      <alignment vertical="center"/>
    </xf>
    <xf numFmtId="0" fontId="0" fillId="0" borderId="0" xfId="0" applyAlignment="1"/>
    <xf numFmtId="0" fontId="6" fillId="4" borderId="3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/>
    </xf>
    <xf numFmtId="9" fontId="0" fillId="0" borderId="1" xfId="0" applyNumberForma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FFCC"/>
      <color rgb="FFF49357"/>
      <color rgb="FFE911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rgbClr val="00215B"/>
                </a:solidFill>
                <a:latin typeface="+mn-lt"/>
                <a:ea typeface="+mn-ea"/>
                <a:cs typeface="+mn-cs"/>
              </a:defRPr>
            </a:pPr>
            <a:r>
              <a:rPr lang="en-AU" sz="1000" b="1">
                <a:solidFill>
                  <a:srgbClr val="00215B"/>
                </a:solidFill>
              </a:rPr>
              <a:t>Annual LCC, HV</a:t>
            </a:r>
            <a:r>
              <a:rPr lang="en-AU" sz="1000" b="1" baseline="0">
                <a:solidFill>
                  <a:srgbClr val="00215B"/>
                </a:solidFill>
              </a:rPr>
              <a:t> Pole (HBRA)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'Overhead Service All'!$Z$4</c:f>
              <c:strCache>
                <c:ptCount val="1"/>
                <c:pt idx="0">
                  <c:v>Installation Cost</c:v>
                </c:pt>
              </c:strCache>
            </c:strRef>
          </c:tx>
          <c:spPr>
            <a:solidFill>
              <a:srgbClr val="E91164"/>
            </a:solidFill>
            <a:ln>
              <a:solidFill>
                <a:srgbClr val="E91164"/>
              </a:solidFill>
            </a:ln>
            <a:effectLst/>
          </c:spPr>
          <c:invertIfNegative val="0"/>
          <c:cat>
            <c:strRef>
              <c:f>'Overhead Service All'!$X$5:$X$11</c:f>
              <c:strCache>
                <c:ptCount val="7"/>
                <c:pt idx="0">
                  <c:v>Option 1</c:v>
                </c:pt>
                <c:pt idx="1">
                  <c:v>Option 2</c:v>
                </c:pt>
                <c:pt idx="2">
                  <c:v>Option 3</c:v>
                </c:pt>
                <c:pt idx="3">
                  <c:v>Option 4</c:v>
                </c:pt>
                <c:pt idx="4">
                  <c:v>Option 5</c:v>
                </c:pt>
                <c:pt idx="5">
                  <c:v>Option 6</c:v>
                </c:pt>
                <c:pt idx="6">
                  <c:v>Option 7</c:v>
                </c:pt>
              </c:strCache>
            </c:strRef>
          </c:cat>
          <c:val>
            <c:numRef>
              <c:f>'Overhead Service All'!$Z$5:$Z$11</c:f>
              <c:numCache>
                <c:formatCode>_-"$"* #,##0_-;\-"$"* #,##0_-;_-"$"* "-"??_-;_-@_-</c:formatCode>
                <c:ptCount val="7"/>
                <c:pt idx="0">
                  <c:v>6.1730769230769234</c:v>
                </c:pt>
                <c:pt idx="1">
                  <c:v>6.1730769230769234</c:v>
                </c:pt>
                <c:pt idx="2">
                  <c:v>12.346153846153847</c:v>
                </c:pt>
                <c:pt idx="3">
                  <c:v>17.589041095890412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1F-42E8-ACD8-61A31D7345F0}"/>
            </c:ext>
          </c:extLst>
        </c:ser>
        <c:ser>
          <c:idx val="0"/>
          <c:order val="1"/>
          <c:tx>
            <c:strRef>
              <c:f>'Overhead Service All'!$AA$4</c:f>
              <c:strCache>
                <c:ptCount val="1"/>
                <c:pt idx="0">
                  <c:v>Inspection Cost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'Overhead Service All'!$X$5:$X$11</c:f>
              <c:strCache>
                <c:ptCount val="7"/>
                <c:pt idx="0">
                  <c:v>Option 1</c:v>
                </c:pt>
                <c:pt idx="1">
                  <c:v>Option 2</c:v>
                </c:pt>
                <c:pt idx="2">
                  <c:v>Option 3</c:v>
                </c:pt>
                <c:pt idx="3">
                  <c:v>Option 4</c:v>
                </c:pt>
                <c:pt idx="4">
                  <c:v>Option 5</c:v>
                </c:pt>
                <c:pt idx="5">
                  <c:v>Option 6</c:v>
                </c:pt>
                <c:pt idx="6">
                  <c:v>Option 7</c:v>
                </c:pt>
              </c:strCache>
            </c:strRef>
          </c:cat>
          <c:val>
            <c:numRef>
              <c:f>'Overhead Service All'!$AA$5:$AA$11</c:f>
              <c:numCache>
                <c:formatCode>_-"$"* #,##0_-;\-"$"* #,##0_-;_-"$"* "-"??_-;_-@_-</c:formatCode>
                <c:ptCount val="7"/>
                <c:pt idx="0">
                  <c:v>0</c:v>
                </c:pt>
                <c:pt idx="1">
                  <c:v>2.7425211448380269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71F-42E8-ACD8-61A31D7345F0}"/>
            </c:ext>
          </c:extLst>
        </c:ser>
        <c:ser>
          <c:idx val="2"/>
          <c:order val="2"/>
          <c:tx>
            <c:strRef>
              <c:f>'Overhead Service All'!$AB$4</c:f>
              <c:strCache>
                <c:ptCount val="1"/>
                <c:pt idx="0">
                  <c:v>Failure Cost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'Overhead Service All'!$X$5:$X$11</c:f>
              <c:strCache>
                <c:ptCount val="7"/>
                <c:pt idx="0">
                  <c:v>Option 1</c:v>
                </c:pt>
                <c:pt idx="1">
                  <c:v>Option 2</c:v>
                </c:pt>
                <c:pt idx="2">
                  <c:v>Option 3</c:v>
                </c:pt>
                <c:pt idx="3">
                  <c:v>Option 4</c:v>
                </c:pt>
                <c:pt idx="4">
                  <c:v>Option 5</c:v>
                </c:pt>
                <c:pt idx="5">
                  <c:v>Option 6</c:v>
                </c:pt>
                <c:pt idx="6">
                  <c:v>Option 7</c:v>
                </c:pt>
              </c:strCache>
            </c:strRef>
          </c:cat>
          <c:val>
            <c:numRef>
              <c:f>'Overhead Service All'!$AB$5:$AB$11</c:f>
              <c:numCache>
                <c:formatCode>_-"$"* #,##0_-;\-"$"* #,##0_-;_-"$"* "-"??_-;_-@_-</c:formatCode>
                <c:ptCount val="7"/>
                <c:pt idx="0">
                  <c:v>78.556337143609383</c:v>
                </c:pt>
                <c:pt idx="1">
                  <c:v>15.711267428721877</c:v>
                </c:pt>
                <c:pt idx="2">
                  <c:v>78.407999605076967</c:v>
                </c:pt>
                <c:pt idx="3">
                  <c:v>7.8458924438057398</c:v>
                </c:pt>
                <c:pt idx="4">
                  <c:v>0</c:v>
                </c:pt>
                <c:pt idx="5">
                  <c:v>0</c:v>
                </c:pt>
                <c:pt idx="6">
                  <c:v>14.194891259055348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71F-42E8-ACD8-61A31D734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1447296"/>
        <c:axId val="204394496"/>
      </c:barChart>
      <c:scatterChart>
        <c:scatterStyle val="lineMarker"/>
        <c:varyColors val="0"/>
        <c:ser>
          <c:idx val="3"/>
          <c:order val="3"/>
          <c:tx>
            <c:strRef>
              <c:f>'Overhead Service All'!$AC$4</c:f>
              <c:strCache>
                <c:ptCount val="1"/>
                <c:pt idx="0">
                  <c:v>Failure Rate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'Overhead Service All'!$X$5:$X$11</c:f>
              <c:strCache>
                <c:ptCount val="7"/>
                <c:pt idx="0">
                  <c:v>Option 1</c:v>
                </c:pt>
                <c:pt idx="1">
                  <c:v>Option 2</c:v>
                </c:pt>
                <c:pt idx="2">
                  <c:v>Option 3</c:v>
                </c:pt>
                <c:pt idx="3">
                  <c:v>Option 4</c:v>
                </c:pt>
                <c:pt idx="4">
                  <c:v>Option 5</c:v>
                </c:pt>
                <c:pt idx="5">
                  <c:v>Option 6</c:v>
                </c:pt>
                <c:pt idx="6">
                  <c:v>Option 7</c:v>
                </c:pt>
              </c:strCache>
            </c:strRef>
          </c:xVal>
          <c:yVal>
            <c:numRef>
              <c:f>'Overhead Service All'!$AC$5:$AC$11</c:f>
              <c:numCache>
                <c:formatCode>0.0</c:formatCode>
                <c:ptCount val="7"/>
                <c:pt idx="0">
                  <c:v>2927</c:v>
                </c:pt>
                <c:pt idx="1">
                  <c:v>585.4</c:v>
                </c:pt>
                <c:pt idx="2">
                  <c:v>585.4</c:v>
                </c:pt>
                <c:pt idx="3">
                  <c:v>528.9</c:v>
                </c:pt>
                <c:pt idx="4">
                  <c:v>0</c:v>
                </c:pt>
                <c:pt idx="5">
                  <c:v>0</c:v>
                </c:pt>
                <c:pt idx="6">
                  <c:v>528.9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71F-42E8-ACD8-61A31D734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50240"/>
        <c:axId val="204396416"/>
      </c:scatterChart>
      <c:catAx>
        <c:axId val="20144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215B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394496"/>
        <c:crosses val="autoZero"/>
        <c:auto val="1"/>
        <c:lblAlgn val="ctr"/>
        <c:lblOffset val="100"/>
        <c:noMultiLvlLbl val="0"/>
      </c:catAx>
      <c:valAx>
        <c:axId val="20439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Life Cycle Cost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215B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47296"/>
        <c:crosses val="autoZero"/>
        <c:crossBetween val="between"/>
      </c:valAx>
      <c:valAx>
        <c:axId val="2043964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Failure Rate (/1000 Poles/Year)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050240"/>
        <c:crosses val="max"/>
        <c:crossBetween val="midCat"/>
      </c:valAx>
      <c:valAx>
        <c:axId val="205050240"/>
        <c:scaling>
          <c:orientation val="minMax"/>
        </c:scaling>
        <c:delete val="1"/>
        <c:axPos val="t"/>
        <c:majorTickMark val="out"/>
        <c:minorTickMark val="none"/>
        <c:tickLblPos val="nextTo"/>
        <c:crossAx val="204396416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215B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2622521227131568E-2"/>
          <c:y val="4.3188264663374221E-2"/>
          <c:w val="0.894548476821863"/>
          <c:h val="0.769240804717630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'Overhead Service NS'!$Z$4</c:f>
              <c:strCache>
                <c:ptCount val="1"/>
                <c:pt idx="0">
                  <c:v>Installation cost</c:v>
                </c:pt>
              </c:strCache>
            </c:strRef>
          </c:tx>
          <c:spPr>
            <a:solidFill>
              <a:srgbClr val="00215B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'Overhead Service NS'!$Y$5:$Y$9</c:f>
              <c:strCache>
                <c:ptCount val="5"/>
                <c:pt idx="0">
                  <c:v>No maintenance</c:v>
                </c:pt>
                <c:pt idx="1">
                  <c:v>Condition monitoring (AMI)</c:v>
                </c:pt>
                <c:pt idx="2">
                  <c:v>Proactive replacement (5Y)</c:v>
                </c:pt>
                <c:pt idx="3">
                  <c:v>Proactive replacement (10Y)</c:v>
                </c:pt>
                <c:pt idx="4">
                  <c:v>Inspect and maintain</c:v>
                </c:pt>
              </c:strCache>
            </c:strRef>
          </c:cat>
          <c:val>
            <c:numRef>
              <c:f>'Overhead Service NS'!$Z$5:$Z$9</c:f>
              <c:numCache>
                <c:formatCode>_-"$"* #,##0_-;\-"$"* #,##0_-;_-"$"* "-"??_-;_-@_-</c:formatCode>
                <c:ptCount val="5"/>
                <c:pt idx="0">
                  <c:v>64.2</c:v>
                </c:pt>
                <c:pt idx="1">
                  <c:v>64.2</c:v>
                </c:pt>
                <c:pt idx="2">
                  <c:v>256.8</c:v>
                </c:pt>
                <c:pt idx="3">
                  <c:v>128.4</c:v>
                </c:pt>
                <c:pt idx="4">
                  <c:v>64.2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D24-46D7-9B2E-015421C04A2A}"/>
            </c:ext>
          </c:extLst>
        </c:ser>
        <c:ser>
          <c:idx val="1"/>
          <c:order val="1"/>
          <c:tx>
            <c:strRef>
              <c:f>'Overhead Service NS'!$AA$4</c:f>
              <c:strCache>
                <c:ptCount val="1"/>
                <c:pt idx="0">
                  <c:v>Inspection cost</c:v>
                </c:pt>
              </c:strCache>
            </c:strRef>
          </c:tx>
          <c:spPr>
            <a:solidFill>
              <a:srgbClr val="F49357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'Overhead Service NS'!$Y$5:$Y$9</c:f>
              <c:strCache>
                <c:ptCount val="5"/>
                <c:pt idx="0">
                  <c:v>No maintenance</c:v>
                </c:pt>
                <c:pt idx="1">
                  <c:v>Condition monitoring (AMI)</c:v>
                </c:pt>
                <c:pt idx="2">
                  <c:v>Proactive replacement (5Y)</c:v>
                </c:pt>
                <c:pt idx="3">
                  <c:v>Proactive replacement (10Y)</c:v>
                </c:pt>
                <c:pt idx="4">
                  <c:v>Inspect and maintain</c:v>
                </c:pt>
              </c:strCache>
            </c:strRef>
          </c:cat>
          <c:val>
            <c:numRef>
              <c:f>'Overhead Service NS'!$AA$5:$AA$9</c:f>
              <c:numCache>
                <c:formatCode>_-"$"* #,##0_-;\-"$"* #,##0_-;_-"$"* "-"??_-;_-@_-</c:formatCode>
                <c:ptCount val="5"/>
                <c:pt idx="0">
                  <c:v>0</c:v>
                </c:pt>
                <c:pt idx="1">
                  <c:v>2.7425211448380269</c:v>
                </c:pt>
                <c:pt idx="2">
                  <c:v>2.7425211448380269</c:v>
                </c:pt>
                <c:pt idx="3">
                  <c:v>2.7425211448380269</c:v>
                </c:pt>
                <c:pt idx="4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DD24-46D7-9B2E-015421C04A2A}"/>
            </c:ext>
          </c:extLst>
        </c:ser>
        <c:ser>
          <c:idx val="2"/>
          <c:order val="2"/>
          <c:tx>
            <c:strRef>
              <c:f>'Overhead Service NS'!$AB$4</c:f>
              <c:strCache>
                <c:ptCount val="1"/>
                <c:pt idx="0">
                  <c:v>Failure cost</c:v>
                </c:pt>
              </c:strCache>
            </c:strRef>
          </c:tx>
          <c:spPr>
            <a:solidFill>
              <a:srgbClr val="E91164"/>
            </a:solidFill>
            <a:ln>
              <a:solidFill>
                <a:sysClr val="window" lastClr="FFFFFF"/>
              </a:solidFill>
            </a:ln>
          </c:spPr>
          <c:invertIfNegative val="0"/>
          <c:cat>
            <c:strRef>
              <c:f>'Overhead Service NS'!$Y$5:$Y$9</c:f>
              <c:strCache>
                <c:ptCount val="5"/>
                <c:pt idx="0">
                  <c:v>No maintenance</c:v>
                </c:pt>
                <c:pt idx="1">
                  <c:v>Condition monitoring (AMI)</c:v>
                </c:pt>
                <c:pt idx="2">
                  <c:v>Proactive replacement (5Y)</c:v>
                </c:pt>
                <c:pt idx="3">
                  <c:v>Proactive replacement (10Y)</c:v>
                </c:pt>
                <c:pt idx="4">
                  <c:v>Inspect and maintain</c:v>
                </c:pt>
              </c:strCache>
            </c:strRef>
          </c:cat>
          <c:val>
            <c:numRef>
              <c:f>'Overhead Service NS'!$AB$5:$AB$9</c:f>
              <c:numCache>
                <c:formatCode>_-"$"* #,##0_-;\-"$"* #,##0_-;_-"$"* "-"??_-;_-@_-</c:formatCode>
                <c:ptCount val="5"/>
                <c:pt idx="0">
                  <c:v>1048.7584636902764</c:v>
                </c:pt>
                <c:pt idx="1">
                  <c:v>209.75169273805528</c:v>
                </c:pt>
                <c:pt idx="2">
                  <c:v>111.07431415187115</c:v>
                </c:pt>
                <c:pt idx="3">
                  <c:v>111.07431415187115</c:v>
                </c:pt>
                <c:pt idx="4">
                  <c:v>419.50338547611057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DD24-46D7-9B2E-015421C04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9815936"/>
        <c:axId val="294376960"/>
      </c:barChart>
      <c:catAx>
        <c:axId val="289815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294376960"/>
        <c:crosses val="autoZero"/>
        <c:auto val="1"/>
        <c:lblAlgn val="ctr"/>
        <c:lblOffset val="100"/>
        <c:noMultiLvlLbl val="0"/>
      </c:catAx>
      <c:valAx>
        <c:axId val="294376960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_-&quot;$&quot;* #,##0_-;\-&quot;$&quot;* #,##0_-;_-&quot;$&quot;* &quot;-&quot;??_-;_-@_-" sourceLinked="1"/>
        <c:majorTickMark val="in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289815936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bg1">
              <a:lumMod val="8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6328506560028919"/>
          <c:y val="0.9328405481230726"/>
          <c:w val="0.53282008115489587"/>
          <c:h val="4.4531362254069964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0066406739605083E-2"/>
          <c:y val="4.3188264663374221E-2"/>
          <c:w val="0.90710459130938947"/>
          <c:h val="0.765314598839141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'Overhead Service PVC'!$Z$4</c:f>
              <c:strCache>
                <c:ptCount val="1"/>
                <c:pt idx="0">
                  <c:v>Installation cost</c:v>
                </c:pt>
              </c:strCache>
            </c:strRef>
          </c:tx>
          <c:spPr>
            <a:solidFill>
              <a:srgbClr val="00215B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'Overhead Service PVC'!$Y$5:$Y$9</c:f>
              <c:strCache>
                <c:ptCount val="5"/>
                <c:pt idx="0">
                  <c:v>No maintenance</c:v>
                </c:pt>
                <c:pt idx="1">
                  <c:v>Condition monitoring (AMI)</c:v>
                </c:pt>
                <c:pt idx="2">
                  <c:v>Proactive replacement (5Y)</c:v>
                </c:pt>
                <c:pt idx="3">
                  <c:v>Proactive replacement (10Y)</c:v>
                </c:pt>
                <c:pt idx="4">
                  <c:v>Inspect and maintain</c:v>
                </c:pt>
              </c:strCache>
            </c:strRef>
          </c:cat>
          <c:val>
            <c:numRef>
              <c:f>'Overhead Service PVC'!$Z$5:$Z$9</c:f>
              <c:numCache>
                <c:formatCode>_-"$"* #,##0_-;\-"$"* #,##0_-;_-"$"* "-"??_-;_-@_-</c:formatCode>
                <c:ptCount val="5"/>
                <c:pt idx="0">
                  <c:v>64.2</c:v>
                </c:pt>
                <c:pt idx="1">
                  <c:v>64.2</c:v>
                </c:pt>
                <c:pt idx="2">
                  <c:v>256.8</c:v>
                </c:pt>
                <c:pt idx="3">
                  <c:v>128.4</c:v>
                </c:pt>
                <c:pt idx="4">
                  <c:v>64.2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443-4CFA-AEE5-311F81D1011B}"/>
            </c:ext>
          </c:extLst>
        </c:ser>
        <c:ser>
          <c:idx val="1"/>
          <c:order val="1"/>
          <c:tx>
            <c:strRef>
              <c:f>'Overhead Service PVC'!$AA$4</c:f>
              <c:strCache>
                <c:ptCount val="1"/>
                <c:pt idx="0">
                  <c:v>Inspection cost</c:v>
                </c:pt>
              </c:strCache>
            </c:strRef>
          </c:tx>
          <c:spPr>
            <a:solidFill>
              <a:srgbClr val="F49357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'Overhead Service PVC'!$Y$5:$Y$9</c:f>
              <c:strCache>
                <c:ptCount val="5"/>
                <c:pt idx="0">
                  <c:v>No maintenance</c:v>
                </c:pt>
                <c:pt idx="1">
                  <c:v>Condition monitoring (AMI)</c:v>
                </c:pt>
                <c:pt idx="2">
                  <c:v>Proactive replacement (5Y)</c:v>
                </c:pt>
                <c:pt idx="3">
                  <c:v>Proactive replacement (10Y)</c:v>
                </c:pt>
                <c:pt idx="4">
                  <c:v>Inspect and maintain</c:v>
                </c:pt>
              </c:strCache>
            </c:strRef>
          </c:cat>
          <c:val>
            <c:numRef>
              <c:f>'Overhead Service PVC'!$AA$5:$AA$9</c:f>
              <c:numCache>
                <c:formatCode>_-"$"* #,##0_-;\-"$"* #,##0_-;_-"$"* "-"??_-;_-@_-</c:formatCode>
                <c:ptCount val="5"/>
                <c:pt idx="0">
                  <c:v>0</c:v>
                </c:pt>
                <c:pt idx="1">
                  <c:v>2.7425211448380269</c:v>
                </c:pt>
                <c:pt idx="2">
                  <c:v>2.7425211448380269</c:v>
                </c:pt>
                <c:pt idx="3">
                  <c:v>2.7425211448380269</c:v>
                </c:pt>
                <c:pt idx="4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F443-4CFA-AEE5-311F81D1011B}"/>
            </c:ext>
          </c:extLst>
        </c:ser>
        <c:ser>
          <c:idx val="2"/>
          <c:order val="2"/>
          <c:tx>
            <c:strRef>
              <c:f>'Overhead Service PVC'!$AB$4</c:f>
              <c:strCache>
                <c:ptCount val="1"/>
                <c:pt idx="0">
                  <c:v>Failure cost</c:v>
                </c:pt>
              </c:strCache>
            </c:strRef>
          </c:tx>
          <c:spPr>
            <a:solidFill>
              <a:srgbClr val="E91164"/>
            </a:solidFill>
            <a:ln>
              <a:solidFill>
                <a:sysClr val="window" lastClr="FFFFFF"/>
              </a:solidFill>
            </a:ln>
          </c:spPr>
          <c:invertIfNegative val="0"/>
          <c:cat>
            <c:strRef>
              <c:f>'Overhead Service PVC'!$Y$5:$Y$9</c:f>
              <c:strCache>
                <c:ptCount val="5"/>
                <c:pt idx="0">
                  <c:v>No maintenance</c:v>
                </c:pt>
                <c:pt idx="1">
                  <c:v>Condition monitoring (AMI)</c:v>
                </c:pt>
                <c:pt idx="2">
                  <c:v>Proactive replacement (5Y)</c:v>
                </c:pt>
                <c:pt idx="3">
                  <c:v>Proactive replacement (10Y)</c:v>
                </c:pt>
                <c:pt idx="4">
                  <c:v>Inspect and maintain</c:v>
                </c:pt>
              </c:strCache>
            </c:strRef>
          </c:cat>
          <c:val>
            <c:numRef>
              <c:f>'Overhead Service PVC'!$AB$5:$AB$9</c:f>
              <c:numCache>
                <c:formatCode>_-"$"* #,##0_-;\-"$"* #,##0_-;_-"$"* "-"??_-;_-@_-</c:formatCode>
                <c:ptCount val="5"/>
                <c:pt idx="0">
                  <c:v>728.99190865629134</c:v>
                </c:pt>
                <c:pt idx="1">
                  <c:v>145.79838173125827</c:v>
                </c:pt>
                <c:pt idx="2">
                  <c:v>70.456285047725174</c:v>
                </c:pt>
                <c:pt idx="3">
                  <c:v>70.456285047725174</c:v>
                </c:pt>
                <c:pt idx="4">
                  <c:v>291.59676346251655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F443-4CFA-AEE5-311F81D10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098560"/>
        <c:axId val="202100096"/>
      </c:barChart>
      <c:catAx>
        <c:axId val="202098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202100096"/>
        <c:crosses val="autoZero"/>
        <c:auto val="1"/>
        <c:lblAlgn val="ctr"/>
        <c:lblOffset val="100"/>
        <c:noMultiLvlLbl val="0"/>
      </c:catAx>
      <c:valAx>
        <c:axId val="202100096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_-&quot;$&quot;* #,##0_-;\-&quot;$&quot;* #,##0_-;_-&quot;$&quot;* &quot;-&quot;??_-;_-@_-" sourceLinked="1"/>
        <c:majorTickMark val="in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202098560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bg1">
              <a:lumMod val="8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4761345417506822"/>
          <c:y val="0.92278204147248177"/>
          <c:w val="0.54835573173814656"/>
          <c:h val="6.1513135013563959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'Overhead Service Other'!$Z$4</c:f>
              <c:strCache>
                <c:ptCount val="1"/>
                <c:pt idx="0">
                  <c:v>Installation cost</c:v>
                </c:pt>
              </c:strCache>
            </c:strRef>
          </c:tx>
          <c:spPr>
            <a:solidFill>
              <a:srgbClr val="00215B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'Overhead Service Other'!$Y$5:$Y$9</c:f>
              <c:strCache>
                <c:ptCount val="5"/>
                <c:pt idx="0">
                  <c:v>No maintenance</c:v>
                </c:pt>
                <c:pt idx="1">
                  <c:v>Condition monitoring (AMI)</c:v>
                </c:pt>
                <c:pt idx="2">
                  <c:v>Proactive replacement (5Y)</c:v>
                </c:pt>
                <c:pt idx="3">
                  <c:v>Proactive replacement (10Y)</c:v>
                </c:pt>
                <c:pt idx="4">
                  <c:v>Inspect and maintain</c:v>
                </c:pt>
              </c:strCache>
            </c:strRef>
          </c:cat>
          <c:val>
            <c:numRef>
              <c:f>'Overhead Service Other'!$Z$5:$Z$9</c:f>
              <c:numCache>
                <c:formatCode>_-"$"* #,##0_-;\-"$"* #,##0_-;_-"$"* "-"??_-;_-@_-</c:formatCode>
                <c:ptCount val="5"/>
                <c:pt idx="0">
                  <c:v>32.1</c:v>
                </c:pt>
                <c:pt idx="1">
                  <c:v>32.1</c:v>
                </c:pt>
                <c:pt idx="2">
                  <c:v>256.8</c:v>
                </c:pt>
                <c:pt idx="3">
                  <c:v>128.4</c:v>
                </c:pt>
                <c:pt idx="4">
                  <c:v>32.1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131-48F3-AD13-9ACEA9CDACD5}"/>
            </c:ext>
          </c:extLst>
        </c:ser>
        <c:ser>
          <c:idx val="1"/>
          <c:order val="1"/>
          <c:tx>
            <c:strRef>
              <c:f>'Overhead Service Other'!$AA$4</c:f>
              <c:strCache>
                <c:ptCount val="1"/>
                <c:pt idx="0">
                  <c:v>Inspection cost</c:v>
                </c:pt>
              </c:strCache>
            </c:strRef>
          </c:tx>
          <c:spPr>
            <a:solidFill>
              <a:srgbClr val="F49357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'Overhead Service Other'!$Y$5:$Y$9</c:f>
              <c:strCache>
                <c:ptCount val="5"/>
                <c:pt idx="0">
                  <c:v>No maintenance</c:v>
                </c:pt>
                <c:pt idx="1">
                  <c:v>Condition monitoring (AMI)</c:v>
                </c:pt>
                <c:pt idx="2">
                  <c:v>Proactive replacement (5Y)</c:v>
                </c:pt>
                <c:pt idx="3">
                  <c:v>Proactive replacement (10Y)</c:v>
                </c:pt>
                <c:pt idx="4">
                  <c:v>Inspect and maintain</c:v>
                </c:pt>
              </c:strCache>
            </c:strRef>
          </c:cat>
          <c:val>
            <c:numRef>
              <c:f>'Overhead Service Other'!$AA$5:$AA$9</c:f>
              <c:numCache>
                <c:formatCode>_-"$"* #,##0_-;\-"$"* #,##0_-;_-"$"* "-"??_-;_-@_-</c:formatCode>
                <c:ptCount val="5"/>
                <c:pt idx="0">
                  <c:v>0</c:v>
                </c:pt>
                <c:pt idx="1">
                  <c:v>2.7425211448380269</c:v>
                </c:pt>
                <c:pt idx="2">
                  <c:v>2.7425211448380269</c:v>
                </c:pt>
                <c:pt idx="3">
                  <c:v>2.7425211448380269</c:v>
                </c:pt>
                <c:pt idx="4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131-48F3-AD13-9ACEA9CDACD5}"/>
            </c:ext>
          </c:extLst>
        </c:ser>
        <c:ser>
          <c:idx val="2"/>
          <c:order val="2"/>
          <c:tx>
            <c:strRef>
              <c:f>'Overhead Service Other'!$AB$4</c:f>
              <c:strCache>
                <c:ptCount val="1"/>
                <c:pt idx="0">
                  <c:v>Failure cost</c:v>
                </c:pt>
              </c:strCache>
            </c:strRef>
          </c:tx>
          <c:spPr>
            <a:solidFill>
              <a:srgbClr val="E91164"/>
            </a:solidFill>
            <a:ln>
              <a:solidFill>
                <a:sysClr val="window" lastClr="FFFFFF"/>
              </a:solidFill>
            </a:ln>
          </c:spPr>
          <c:invertIfNegative val="0"/>
          <c:cat>
            <c:strRef>
              <c:f>'Overhead Service Other'!$Y$5:$Y$9</c:f>
              <c:strCache>
                <c:ptCount val="5"/>
                <c:pt idx="0">
                  <c:v>No maintenance</c:v>
                </c:pt>
                <c:pt idx="1">
                  <c:v>Condition monitoring (AMI)</c:v>
                </c:pt>
                <c:pt idx="2">
                  <c:v>Proactive replacement (5Y)</c:v>
                </c:pt>
                <c:pt idx="3">
                  <c:v>Proactive replacement (10Y)</c:v>
                </c:pt>
                <c:pt idx="4">
                  <c:v>Inspect and maintain</c:v>
                </c:pt>
              </c:strCache>
            </c:strRef>
          </c:cat>
          <c:val>
            <c:numRef>
              <c:f>'Overhead Service Other'!$AB$5:$AB$9</c:f>
              <c:numCache>
                <c:formatCode>_-"$"* #,##0_-;\-"$"* #,##0_-;_-"$"* "-"??_-;_-@_-</c:formatCode>
                <c:ptCount val="5"/>
                <c:pt idx="0">
                  <c:v>46.311500576707417</c:v>
                </c:pt>
                <c:pt idx="1">
                  <c:v>9.2623001153414837</c:v>
                </c:pt>
                <c:pt idx="2">
                  <c:v>70.456285047725174</c:v>
                </c:pt>
                <c:pt idx="3">
                  <c:v>70.456285047725174</c:v>
                </c:pt>
                <c:pt idx="4">
                  <c:v>18.524600230682967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0131-48F3-AD13-9ACEA9CDA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508928"/>
        <c:axId val="202514816"/>
      </c:barChart>
      <c:catAx>
        <c:axId val="202508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202514816"/>
        <c:crosses val="autoZero"/>
        <c:auto val="1"/>
        <c:lblAlgn val="ctr"/>
        <c:lblOffset val="100"/>
        <c:noMultiLvlLbl val="0"/>
      </c:catAx>
      <c:valAx>
        <c:axId val="202514816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_-&quot;$&quot;* #,##0_-;\-&quot;$&quot;* #,##0_-;_-&quot;$&quot;* &quot;-&quot;??_-;_-@_-" sourceLinked="1"/>
        <c:majorTickMark val="in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202508928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bg1">
              <a:lumMod val="8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5420076744287751"/>
          <c:y val="0.91502535729185419"/>
          <c:w val="0.53718929104543367"/>
          <c:h val="6.1443915809406051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rgbClr val="00215B"/>
                </a:solidFill>
                <a:latin typeface="+mn-lt"/>
                <a:ea typeface="+mn-ea"/>
                <a:cs typeface="+mn-cs"/>
              </a:defRPr>
            </a:pPr>
            <a:r>
              <a:rPr lang="en-AU" sz="1000" b="1">
                <a:solidFill>
                  <a:srgbClr val="00215B"/>
                </a:solidFill>
              </a:rPr>
              <a:t>Annual LCC, HV</a:t>
            </a:r>
            <a:r>
              <a:rPr lang="en-AU" sz="1000" b="1" baseline="0">
                <a:solidFill>
                  <a:srgbClr val="00215B"/>
                </a:solidFill>
              </a:rPr>
              <a:t> Pole (HBRA)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'Overhead Service NS Pre-AMI'!$Z$4</c:f>
              <c:strCache>
                <c:ptCount val="1"/>
                <c:pt idx="0">
                  <c:v>Installation Cost</c:v>
                </c:pt>
              </c:strCache>
            </c:strRef>
          </c:tx>
          <c:spPr>
            <a:solidFill>
              <a:srgbClr val="E91164"/>
            </a:solidFill>
            <a:ln>
              <a:solidFill>
                <a:srgbClr val="E91164"/>
              </a:solidFill>
            </a:ln>
            <a:effectLst/>
          </c:spPr>
          <c:invertIfNegative val="0"/>
          <c:cat>
            <c:strRef>
              <c:f>'Overhead Service NS Pre-AMI'!$X$5:$X$11</c:f>
              <c:strCache>
                <c:ptCount val="7"/>
                <c:pt idx="0">
                  <c:v>Option 1</c:v>
                </c:pt>
                <c:pt idx="1">
                  <c:v>Option 2</c:v>
                </c:pt>
                <c:pt idx="2">
                  <c:v>Option 3</c:v>
                </c:pt>
                <c:pt idx="3">
                  <c:v>Option 4</c:v>
                </c:pt>
                <c:pt idx="4">
                  <c:v>Option 5</c:v>
                </c:pt>
                <c:pt idx="5">
                  <c:v>Option 6</c:v>
                </c:pt>
                <c:pt idx="6">
                  <c:v>Option 7</c:v>
                </c:pt>
              </c:strCache>
            </c:strRef>
          </c:cat>
          <c:val>
            <c:numRef>
              <c:f>'Overhead Service NS Pre-AMI'!$Z$5:$Z$11</c:f>
              <c:numCache>
                <c:formatCode>_-"$"* #,##0_-;\-"$"* #,##0_-;_-"$"* "-"??_-;_-@_-</c:formatCode>
                <c:ptCount val="7"/>
                <c:pt idx="0">
                  <c:v>27.472997723421376</c:v>
                </c:pt>
                <c:pt idx="1">
                  <c:v>27.472997723421376</c:v>
                </c:pt>
                <c:pt idx="2">
                  <c:v>128.4</c:v>
                </c:pt>
                <c:pt idx="3">
                  <c:v>64.2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1A-4AA8-A3D0-28629A7D15B0}"/>
            </c:ext>
          </c:extLst>
        </c:ser>
        <c:ser>
          <c:idx val="0"/>
          <c:order val="1"/>
          <c:tx>
            <c:strRef>
              <c:f>'Overhead Service NS Pre-AMI'!$AA$4</c:f>
              <c:strCache>
                <c:ptCount val="1"/>
                <c:pt idx="0">
                  <c:v>Inspection Cost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'Overhead Service NS Pre-AMI'!$X$5:$X$11</c:f>
              <c:strCache>
                <c:ptCount val="7"/>
                <c:pt idx="0">
                  <c:v>Option 1</c:v>
                </c:pt>
                <c:pt idx="1">
                  <c:v>Option 2</c:v>
                </c:pt>
                <c:pt idx="2">
                  <c:v>Option 3</c:v>
                </c:pt>
                <c:pt idx="3">
                  <c:v>Option 4</c:v>
                </c:pt>
                <c:pt idx="4">
                  <c:v>Option 5</c:v>
                </c:pt>
                <c:pt idx="5">
                  <c:v>Option 6</c:v>
                </c:pt>
                <c:pt idx="6">
                  <c:v>Option 7</c:v>
                </c:pt>
              </c:strCache>
            </c:strRef>
          </c:cat>
          <c:val>
            <c:numRef>
              <c:f>'Overhead Service NS Pre-AMI'!$AA$5:$AA$11</c:f>
              <c:numCache>
                <c:formatCode>_-"$"* #,##0_-;\-"$"* #,##0_-;_-"$"* "-"??_-;_-@_-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F1A-4AA8-A3D0-28629A7D15B0}"/>
            </c:ext>
          </c:extLst>
        </c:ser>
        <c:ser>
          <c:idx val="2"/>
          <c:order val="2"/>
          <c:tx>
            <c:strRef>
              <c:f>'Overhead Service NS Pre-AMI'!$AB$4</c:f>
              <c:strCache>
                <c:ptCount val="1"/>
                <c:pt idx="0">
                  <c:v>Failure Cost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'Overhead Service NS Pre-AMI'!$X$5:$X$11</c:f>
              <c:strCache>
                <c:ptCount val="7"/>
                <c:pt idx="0">
                  <c:v>Option 1</c:v>
                </c:pt>
                <c:pt idx="1">
                  <c:v>Option 2</c:v>
                </c:pt>
                <c:pt idx="2">
                  <c:v>Option 3</c:v>
                </c:pt>
                <c:pt idx="3">
                  <c:v>Option 4</c:v>
                </c:pt>
                <c:pt idx="4">
                  <c:v>Option 5</c:v>
                </c:pt>
                <c:pt idx="5">
                  <c:v>Option 6</c:v>
                </c:pt>
                <c:pt idx="6">
                  <c:v>Option 7</c:v>
                </c:pt>
              </c:strCache>
            </c:strRef>
          </c:cat>
          <c:val>
            <c:numRef>
              <c:f>'Overhead Service NS Pre-AMI'!$AB$5:$AB$11</c:f>
              <c:numCache>
                <c:formatCode>_-"$"* #,##0_-;\-"$"* #,##0_-;_-"$"* "-"??_-;_-@_-</c:formatCode>
                <c:ptCount val="7"/>
                <c:pt idx="0">
                  <c:v>3948.0851596279008</c:v>
                </c:pt>
                <c:pt idx="1">
                  <c:v>789.61703192558014</c:v>
                </c:pt>
                <c:pt idx="2">
                  <c:v>488.82821937571578</c:v>
                </c:pt>
                <c:pt idx="3">
                  <c:v>488.82821937571578</c:v>
                </c:pt>
                <c:pt idx="4">
                  <c:v>0</c:v>
                </c:pt>
                <c:pt idx="5">
                  <c:v>0</c:v>
                </c:pt>
                <c:pt idx="6">
                  <c:v>488.82821937571578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F1A-4AA8-A3D0-28629A7D1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557696"/>
        <c:axId val="202563584"/>
      </c:barChart>
      <c:scatterChart>
        <c:scatterStyle val="lineMarker"/>
        <c:varyColors val="0"/>
        <c:ser>
          <c:idx val="3"/>
          <c:order val="3"/>
          <c:tx>
            <c:strRef>
              <c:f>'Overhead Service NS Pre-AMI'!$AC$4</c:f>
              <c:strCache>
                <c:ptCount val="1"/>
                <c:pt idx="0">
                  <c:v>Failure Rate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'Overhead Service NS Pre-AMI'!$X$5:$X$11</c:f>
              <c:strCache>
                <c:ptCount val="7"/>
                <c:pt idx="0">
                  <c:v>Option 1</c:v>
                </c:pt>
                <c:pt idx="1">
                  <c:v>Option 2</c:v>
                </c:pt>
                <c:pt idx="2">
                  <c:v>Option 3</c:v>
                </c:pt>
                <c:pt idx="3">
                  <c:v>Option 4</c:v>
                </c:pt>
                <c:pt idx="4">
                  <c:v>Option 5</c:v>
                </c:pt>
                <c:pt idx="5">
                  <c:v>Option 6</c:v>
                </c:pt>
                <c:pt idx="6">
                  <c:v>Option 7</c:v>
                </c:pt>
              </c:strCache>
            </c:strRef>
          </c:xVal>
          <c:yVal>
            <c:numRef>
              <c:f>'Overhead Service NS Pre-AMI'!$AC$5:$AC$11</c:f>
              <c:numCache>
                <c:formatCode>0.0</c:formatCode>
                <c:ptCount val="7"/>
                <c:pt idx="0">
                  <c:v>1181.319415952697</c:v>
                </c:pt>
                <c:pt idx="1">
                  <c:v>236.26388319053942</c:v>
                </c:pt>
                <c:pt idx="2">
                  <c:v>146.26388319053939</c:v>
                </c:pt>
                <c:pt idx="3">
                  <c:v>146.26388319053939</c:v>
                </c:pt>
                <c:pt idx="4">
                  <c:v>0</c:v>
                </c:pt>
                <c:pt idx="5">
                  <c:v>0</c:v>
                </c:pt>
                <c:pt idx="6">
                  <c:v>146.26388319053939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F1A-4AA8-A3D0-28629A7D1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575872"/>
        <c:axId val="202565504"/>
      </c:scatterChart>
      <c:catAx>
        <c:axId val="202557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215B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563584"/>
        <c:crosses val="autoZero"/>
        <c:auto val="1"/>
        <c:lblAlgn val="ctr"/>
        <c:lblOffset val="100"/>
        <c:noMultiLvlLbl val="0"/>
      </c:catAx>
      <c:valAx>
        <c:axId val="20256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Life Cycle Cost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215B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557696"/>
        <c:crosses val="autoZero"/>
        <c:crossBetween val="between"/>
      </c:valAx>
      <c:valAx>
        <c:axId val="20256550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Failure Rate (/1000 Poles/Year)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575872"/>
        <c:crosses val="max"/>
        <c:crossBetween val="midCat"/>
      </c:valAx>
      <c:valAx>
        <c:axId val="202575872"/>
        <c:scaling>
          <c:orientation val="minMax"/>
        </c:scaling>
        <c:delete val="1"/>
        <c:axPos val="t"/>
        <c:majorTickMark val="out"/>
        <c:minorTickMark val="none"/>
        <c:tickLblPos val="nextTo"/>
        <c:crossAx val="202565504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215B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245990</xdr:colOff>
      <xdr:row>13</xdr:row>
      <xdr:rowOff>79680</xdr:rowOff>
    </xdr:from>
    <xdr:to>
      <xdr:col>31</xdr:col>
      <xdr:colOff>373430</xdr:colOff>
      <xdr:row>40</xdr:row>
      <xdr:rowOff>79680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259763</xdr:colOff>
      <xdr:row>14</xdr:row>
      <xdr:rowOff>98853</xdr:rowOff>
    </xdr:from>
    <xdr:to>
      <xdr:col>30</xdr:col>
      <xdr:colOff>571500</xdr:colOff>
      <xdr:row>35</xdr:row>
      <xdr:rowOff>15875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358188</xdr:colOff>
      <xdr:row>13</xdr:row>
      <xdr:rowOff>51228</xdr:rowOff>
    </xdr:from>
    <xdr:to>
      <xdr:col>30</xdr:col>
      <xdr:colOff>587375</xdr:colOff>
      <xdr:row>35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596313</xdr:colOff>
      <xdr:row>13</xdr:row>
      <xdr:rowOff>51228</xdr:rowOff>
    </xdr:from>
    <xdr:to>
      <xdr:col>30</xdr:col>
      <xdr:colOff>571500</xdr:colOff>
      <xdr:row>37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17317</xdr:colOff>
      <xdr:row>13</xdr:row>
      <xdr:rowOff>68547</xdr:rowOff>
    </xdr:from>
    <xdr:to>
      <xdr:col>30</xdr:col>
      <xdr:colOff>578773</xdr:colOff>
      <xdr:row>40</xdr:row>
      <xdr:rowOff>51955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65251</xdr:colOff>
      <xdr:row>5</xdr:row>
      <xdr:rowOff>0</xdr:rowOff>
    </xdr:from>
    <xdr:to>
      <xdr:col>29</xdr:col>
      <xdr:colOff>374814</xdr:colOff>
      <xdr:row>87</xdr:row>
      <xdr:rowOff>75896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543376" y="952500"/>
          <a:ext cx="12692063" cy="15696896"/>
        </a:xfrm>
        <a:prstGeom prst="rect">
          <a:avLst/>
        </a:prstGeom>
      </xdr:spPr>
    </xdr:pic>
    <xdr:clientData/>
  </xdr:twoCellAnchor>
  <xdr:twoCellAnchor editAs="oneCell">
    <xdr:from>
      <xdr:col>28</xdr:col>
      <xdr:colOff>497899</xdr:colOff>
      <xdr:row>1</xdr:row>
      <xdr:rowOff>160193</xdr:rowOff>
    </xdr:from>
    <xdr:to>
      <xdr:col>53</xdr:col>
      <xdr:colOff>205969</xdr:colOff>
      <xdr:row>86</xdr:row>
      <xdr:rowOff>17318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7739399" y="350693"/>
          <a:ext cx="15186195" cy="160496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nta.net.int\TAL3\WORKCOORD\Capex\2007%205%20year%20capex%20review\Budget%20Development\Budget%20versions\Week_rpt\2000\11_November_00\TEMP\July-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7\netmgt\ManAcc02\Snapshot%20YE31Dec01\Reports\E02_C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enetwork.domain.prd.int/Users/mabraham/AppData/Local/Microsoft/Windows/Temporary%20Internet%20Files/Content.IE5/L7PP0UNH/MGH%20ver15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enetwork.domain.prd.int/Multinet%20Cost%20Model/PIES%20Budget%20Model%20MASTER%20v2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enetwork.domain.prd.int/Users/wfung01/Documents/UE%20MG/From%20Kylie/Cost%20Model/MGH_OverallCostModel_v2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6\finance\ManAcc02\Snapshot%20YE31Dec01\Reports\E02_CON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7\netmgt\ManAcc04\Budget\5am\Mods\Alinta34em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DNEY"/>
      <sheetName val="SYDN WEST"/>
      <sheetName val="BATHURST"/>
      <sheetName val="CANBERRA"/>
      <sheetName val="GOULBURN"/>
      <sheetName val="WOLLONGONG"/>
      <sheetName val="SUMMARY"/>
      <sheetName val="MACRO"/>
      <sheetName val="NCC Details"/>
      <sheetName val="Drop Down List"/>
      <sheetName val="Instructions"/>
      <sheetName val="lookups"/>
      <sheetName val="Activities"/>
      <sheetName val="00DATES"/>
      <sheetName val="July-99"/>
      <sheetName val="Map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PL for BBJC"/>
      <sheetName val="PAR Cons PL"/>
      <sheetName val="PAR PL by Coy"/>
      <sheetName val="SS_CORT_ PL"/>
      <sheetName val="SS_AFIN_ PL"/>
      <sheetName val="PAR CapWork"/>
      <sheetName val="PAR BS by Coy"/>
      <sheetName val="PAR Cashflow"/>
      <sheetName val="HR&amp;SAFETY KPI"/>
      <sheetName val="SHARE KPI"/>
      <sheetName val="DataGraph"/>
      <sheetName val="DataAct"/>
      <sheetName val="DataBud"/>
      <sheetName val="DataActCORT"/>
      <sheetName val="DataBudCORT"/>
      <sheetName val="DataActAFIN"/>
      <sheetName val="DataBudAFIN"/>
      <sheetName val="DataAct Capex"/>
      <sheetName val="DataBud Capex"/>
      <sheetName val="Date"/>
      <sheetName val="PAR PL by Coy (copy)"/>
      <sheetName val="PAR Cashflow (copy)"/>
      <sheetName val="Men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Formats_Styles_&amp;_Naming_Key_BO"/>
      <sheetName val="Ver_Log_BA"/>
      <sheetName val="DeltaFY_TA"/>
      <sheetName val="DeltaCY_TA"/>
      <sheetName val="CPI&amp;Int_FA"/>
      <sheetName val="GA"/>
      <sheetName val="RevMthly_FA"/>
      <sheetName val="RevQtrly_FA"/>
      <sheetName val="Volume_FA"/>
      <sheetName val="RevMisc_BA"/>
      <sheetName val="OpexMthly_FA"/>
      <sheetName val="OpexQtrly_FA"/>
      <sheetName val="CapexMthly_FA"/>
      <sheetName val="CapexQtrly_FA"/>
      <sheetName val="WACC_FA"/>
      <sheetName val="Reg_Opex_FA"/>
      <sheetName val="CarryOver_FA"/>
      <sheetName val="Reg_Capex_FA"/>
      <sheetName val="Tax_Wedge_FA"/>
      <sheetName val="Debt_BA"/>
      <sheetName val="Divs_NewEquity_FA"/>
      <sheetName val="Tax_FA"/>
      <sheetName val="Hist_Fin_Stmt_FA"/>
      <sheetName val="Eq_Val_FA"/>
      <sheetName val="Ent_Val_FA"/>
      <sheetName val="Valn_WACC_BA"/>
      <sheetName val="CapexMthly_FO"/>
      <sheetName val="CapexQtrly_FO"/>
      <sheetName val="CapexAnn_FO"/>
      <sheetName val="Capex_Subsidy_FO"/>
      <sheetName val="Depn_Exist_Asst_FA"/>
      <sheetName val="Depn_BA"/>
      <sheetName val="Depn_Bk_FO"/>
      <sheetName val="Depn_Tax_FO"/>
      <sheetName val="RegMisc_FA"/>
      <sheetName val="RAB_Bk_FO"/>
      <sheetName val="DebtDraw_FO"/>
      <sheetName val="DebtMthly_FO"/>
      <sheetName val="DebtSummMthly_FO"/>
      <sheetName val="DebtQtrly_FO"/>
      <sheetName val="DebtSummQtrly_FO"/>
      <sheetName val="ClassB_Divs_FO"/>
      <sheetName val="Tax_FO"/>
      <sheetName val="Reg_Rev_FO"/>
      <sheetName val="P&amp;LQtrly_FO"/>
      <sheetName val="P&amp;LAnn_FO"/>
      <sheetName val="CashFQtrly_FO"/>
      <sheetName val="CashFAnn_FO"/>
      <sheetName val="BalShtQtrly_FO"/>
      <sheetName val="BalShtAnn_FO"/>
      <sheetName val="Board_FO"/>
      <sheetName val="P&amp;LMthly_FO"/>
      <sheetName val="CashFMthly_FO"/>
      <sheetName val="BalShtMthly_FO"/>
      <sheetName val="Eq_Val_FO"/>
      <sheetName val="Ent_Val_FO"/>
      <sheetName val="ChartQtrly_FO"/>
      <sheetName val="ChartYrly_TO"/>
      <sheetName val="Ratings_BO"/>
      <sheetName val="Banks_BO"/>
      <sheetName val="Business_BO"/>
      <sheetName val="Err_Chks_BO"/>
      <sheetName val="Sens_Chks_BO"/>
      <sheetName val="Alt_Chks_BO"/>
      <sheetName val="GL"/>
    </sheetNames>
    <sheetDataSet>
      <sheetData sheetId="0">
        <row r="10">
          <cell r="C10" t="str">
            <v>MGH Corporate Model (8 Alerts Detected)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B1" t="str">
            <v>CPI, Interest Rate &amp; Debt Margin Assumptions</v>
          </cell>
        </row>
      </sheetData>
      <sheetData sheetId="7">
        <row r="1">
          <cell r="B1" t="str">
            <v>General Assumptions &amp; Scenario Selections</v>
          </cell>
        </row>
      </sheetData>
      <sheetData sheetId="8">
        <row r="24">
          <cell r="H24">
            <v>41090</v>
          </cell>
        </row>
      </sheetData>
      <sheetData sheetId="9">
        <row r="32">
          <cell r="I32">
            <v>0</v>
          </cell>
        </row>
      </sheetData>
      <sheetData sheetId="10">
        <row r="35">
          <cell r="I35">
            <v>0</v>
          </cell>
        </row>
      </sheetData>
      <sheetData sheetId="11">
        <row r="11">
          <cell r="I11">
            <v>1</v>
          </cell>
        </row>
      </sheetData>
      <sheetData sheetId="12">
        <row r="24">
          <cell r="H24">
            <v>41090</v>
          </cell>
        </row>
      </sheetData>
      <sheetData sheetId="13">
        <row r="51">
          <cell r="I51">
            <v>0</v>
          </cell>
        </row>
      </sheetData>
      <sheetData sheetId="14">
        <row r="70">
          <cell r="I70">
            <v>0</v>
          </cell>
        </row>
      </sheetData>
      <sheetData sheetId="15">
        <row r="73">
          <cell r="I73">
            <v>0</v>
          </cell>
        </row>
      </sheetData>
      <sheetData sheetId="16"/>
      <sheetData sheetId="17">
        <row r="70">
          <cell r="L70">
            <v>0</v>
          </cell>
        </row>
      </sheetData>
      <sheetData sheetId="18"/>
      <sheetData sheetId="19">
        <row r="62">
          <cell r="H62">
            <v>0</v>
          </cell>
        </row>
        <row r="83">
          <cell r="H83">
            <v>1</v>
          </cell>
        </row>
      </sheetData>
      <sheetData sheetId="20"/>
      <sheetData sheetId="21">
        <row r="113">
          <cell r="J113">
            <v>0.8</v>
          </cell>
        </row>
      </sheetData>
      <sheetData sheetId="22">
        <row r="34">
          <cell r="I34">
            <v>1</v>
          </cell>
        </row>
      </sheetData>
      <sheetData sheetId="23">
        <row r="24">
          <cell r="C24" t="b">
            <v>1</v>
          </cell>
        </row>
      </sheetData>
      <sheetData sheetId="24">
        <row r="1">
          <cell r="B1" t="str">
            <v>Historical Financial Statements (Qtrly) ($'000,Nominal)</v>
          </cell>
        </row>
        <row r="310">
          <cell r="I310">
            <v>0</v>
          </cell>
        </row>
      </sheetData>
      <sheetData sheetId="25">
        <row r="24">
          <cell r="C24" t="b">
            <v>1</v>
          </cell>
        </row>
      </sheetData>
      <sheetData sheetId="26">
        <row r="24">
          <cell r="C24" t="b">
            <v>1</v>
          </cell>
        </row>
      </sheetData>
      <sheetData sheetId="27"/>
      <sheetData sheetId="28">
        <row r="55">
          <cell r="I55">
            <v>0</v>
          </cell>
        </row>
      </sheetData>
      <sheetData sheetId="29">
        <row r="68">
          <cell r="I68">
            <v>0</v>
          </cell>
        </row>
      </sheetData>
      <sheetData sheetId="30">
        <row r="55">
          <cell r="I55">
            <v>0</v>
          </cell>
        </row>
      </sheetData>
      <sheetData sheetId="31">
        <row r="31">
          <cell r="I31">
            <v>0</v>
          </cell>
        </row>
      </sheetData>
      <sheetData sheetId="32"/>
      <sheetData sheetId="33">
        <row r="10">
          <cell r="K10">
            <v>783100</v>
          </cell>
        </row>
      </sheetData>
      <sheetData sheetId="34">
        <row r="41">
          <cell r="I41">
            <v>0</v>
          </cell>
        </row>
      </sheetData>
      <sheetData sheetId="35">
        <row r="40">
          <cell r="I40">
            <v>0</v>
          </cell>
        </row>
      </sheetData>
      <sheetData sheetId="36">
        <row r="21">
          <cell r="O21">
            <v>187.15738338231415</v>
          </cell>
        </row>
      </sheetData>
      <sheetData sheetId="37">
        <row r="52">
          <cell r="I52">
            <v>0</v>
          </cell>
        </row>
      </sheetData>
      <sheetData sheetId="38">
        <row r="1">
          <cell r="B1" t="str">
            <v>WCF &amp; SCF Drawdowns by Quarter - Forecast ($'000,Nominal)</v>
          </cell>
        </row>
        <row r="156">
          <cell r="I156">
            <v>0</v>
          </cell>
        </row>
      </sheetData>
      <sheetData sheetId="39">
        <row r="77">
          <cell r="I77">
            <v>0</v>
          </cell>
        </row>
      </sheetData>
      <sheetData sheetId="40">
        <row r="234">
          <cell r="I234">
            <v>0</v>
          </cell>
        </row>
      </sheetData>
      <sheetData sheetId="41">
        <row r="82">
          <cell r="I82">
            <v>0</v>
          </cell>
        </row>
      </sheetData>
      <sheetData sheetId="42">
        <row r="263">
          <cell r="I263">
            <v>1</v>
          </cell>
        </row>
      </sheetData>
      <sheetData sheetId="43">
        <row r="33">
          <cell r="I33">
            <v>1</v>
          </cell>
        </row>
      </sheetData>
      <sheetData sheetId="44">
        <row r="1">
          <cell r="B1" t="str">
            <v>Taxation - Outputs ($'000,Nominal)</v>
          </cell>
        </row>
        <row r="191">
          <cell r="I191">
            <v>0</v>
          </cell>
        </row>
        <row r="208">
          <cell r="I208">
            <v>0</v>
          </cell>
        </row>
      </sheetData>
      <sheetData sheetId="45">
        <row r="74">
          <cell r="I74">
            <v>0</v>
          </cell>
        </row>
      </sheetData>
      <sheetData sheetId="46">
        <row r="125">
          <cell r="I125">
            <v>0</v>
          </cell>
        </row>
      </sheetData>
      <sheetData sheetId="47"/>
      <sheetData sheetId="48">
        <row r="152">
          <cell r="I152">
            <v>0</v>
          </cell>
        </row>
      </sheetData>
      <sheetData sheetId="49">
        <row r="76">
          <cell r="I76">
            <v>0</v>
          </cell>
        </row>
      </sheetData>
      <sheetData sheetId="50">
        <row r="125">
          <cell r="K125">
            <v>0</v>
          </cell>
        </row>
      </sheetData>
      <sheetData sheetId="51">
        <row r="95">
          <cell r="I95">
            <v>0</v>
          </cell>
        </row>
      </sheetData>
      <sheetData sheetId="52">
        <row r="1">
          <cell r="B1" t="str">
            <v>Board Reports &amp; Data Book ($'000,Nominal)</v>
          </cell>
        </row>
        <row r="309">
          <cell r="I309">
            <v>0</v>
          </cell>
        </row>
        <row r="389">
          <cell r="I389">
            <v>0</v>
          </cell>
        </row>
        <row r="420">
          <cell r="I420">
            <v>0</v>
          </cell>
        </row>
      </sheetData>
      <sheetData sheetId="53">
        <row r="117">
          <cell r="I117">
            <v>0</v>
          </cell>
        </row>
      </sheetData>
      <sheetData sheetId="54">
        <row r="120">
          <cell r="I120">
            <v>0</v>
          </cell>
        </row>
      </sheetData>
      <sheetData sheetId="55">
        <row r="124">
          <cell r="I124">
            <v>1</v>
          </cell>
        </row>
      </sheetData>
      <sheetData sheetId="56">
        <row r="66">
          <cell r="H66">
            <v>0</v>
          </cell>
        </row>
      </sheetData>
      <sheetData sheetId="57">
        <row r="68">
          <cell r="H68">
            <v>0</v>
          </cell>
        </row>
      </sheetData>
      <sheetData sheetId="58">
        <row r="81">
          <cell r="D81" t="str">
            <v>FFOIC Rolling 12m</v>
          </cell>
        </row>
      </sheetData>
      <sheetData sheetId="59"/>
      <sheetData sheetId="60"/>
      <sheetData sheetId="61"/>
      <sheetData sheetId="62"/>
      <sheetData sheetId="63">
        <row r="9">
          <cell r="C9" t="b">
            <v>1</v>
          </cell>
        </row>
      </sheetData>
      <sheetData sheetId="64">
        <row r="9">
          <cell r="C9" t="b">
            <v>1</v>
          </cell>
        </row>
      </sheetData>
      <sheetData sheetId="65">
        <row r="9">
          <cell r="C9" t="b">
            <v>1</v>
          </cell>
        </row>
      </sheetData>
      <sheetData sheetId="66">
        <row r="13">
          <cell r="C13" t="str">
            <v>January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Assumptions_SC"/>
      <sheetName val="GenAssum_BA"/>
      <sheetName val="AllocAssum_BA"/>
      <sheetName val="Escalation_TA"/>
      <sheetName val="CostCentre_BA"/>
      <sheetName val="Sheet5"/>
      <sheetName val="Sheet4"/>
      <sheetName val="FTEAssum_TA"/>
      <sheetName val="OpexSharedAssum_TA"/>
      <sheetName val="OpexUEDAssum_TA"/>
      <sheetName val="OpexMGHAssum_TA"/>
      <sheetName val="CapexUED_TA"/>
      <sheetName val="CapexMGH"/>
      <sheetName val="Rev&amp;Dep UED"/>
      <sheetName val="Rev&amp;Dep MGH"/>
      <sheetName val="Op Bal Sheet UED"/>
      <sheetName val="Op Bal Sheet MGH"/>
      <sheetName val="Debt UED"/>
      <sheetName val="Debt MGH"/>
      <sheetName val="Outputs_SC"/>
      <sheetName val="FTE_Summary_TO"/>
      <sheetName val="UED P&amp;L-Cal Yr"/>
      <sheetName val="UED P&amp;L-Fin Yr"/>
      <sheetName val="UED P&amp;L-Qtr"/>
      <sheetName val="UED P&amp;L-Month"/>
      <sheetName val="UED Capex-Cal Yr"/>
      <sheetName val="UED Capex-Fin Yr"/>
      <sheetName val="UED Capex-Qtr"/>
      <sheetName val="UED Capex-Month"/>
      <sheetName val="UED Cash Flow-Month"/>
      <sheetName val="UED Balance Sheet-Month"/>
      <sheetName val="MGH P&amp;L-Cal Yr"/>
      <sheetName val="MGH P&amp;L-Fin Yr"/>
      <sheetName val="MGH P&amp;L-Qtr"/>
      <sheetName val="MGH P&amp;L-Month"/>
      <sheetName val="MGH Capex-Cal Yr"/>
      <sheetName val="MGH Capex-Fin Yr"/>
      <sheetName val="MGH Capex-Qtr"/>
      <sheetName val="MGH Capex-Month"/>
      <sheetName val="MGH Cash Flow-Month"/>
      <sheetName val="MGH Balance Sheet-Month"/>
      <sheetName val="UED Debt"/>
      <sheetName val="UED Sum by Function"/>
      <sheetName val="UED Sum by Account"/>
      <sheetName val="Budget Presentation UED"/>
      <sheetName val="MGH Debt"/>
      <sheetName val="MGH Sum by Function"/>
      <sheetName val="MGH Sum by Account"/>
      <sheetName val="Budget Presentation MGH"/>
      <sheetName val="Asset Management Report"/>
      <sheetName val="CEO Report"/>
      <sheetName val="CMM Report"/>
      <sheetName val="COM Report"/>
      <sheetName val="FIN Report"/>
      <sheetName val="HR Report"/>
      <sheetName val="IT Report"/>
      <sheetName val="NIT Report"/>
      <sheetName val="OHS Report"/>
      <sheetName val="REG Report"/>
      <sheetName val="RISK Report"/>
      <sheetName val="SDN Report"/>
      <sheetName val="SDS Report"/>
      <sheetName val="UED-AAA Report"/>
      <sheetName val="UED-BBB Report"/>
      <sheetName val="UED-CCC Report"/>
      <sheetName val="UED-DDD Report"/>
      <sheetName val="MGH-AAA Report"/>
      <sheetName val="MGH-BBB Report"/>
      <sheetName val="MGH-CCC Report"/>
      <sheetName val="MGH-DDD Report"/>
      <sheetName val="AD Report"/>
      <sheetName val="PIES"/>
      <sheetName val="Appendices_SC"/>
      <sheetName val="Lookup_Tables_SSC"/>
      <sheetName val="TS_LU"/>
      <sheetName val="Checks_SSC"/>
      <sheetName val="Checks_BO"/>
      <sheetName val="Sheet1"/>
    </sheetNames>
    <sheetDataSet>
      <sheetData sheetId="0">
        <row r="10">
          <cell r="C10" t="str">
            <v>Budget MASTER (7 Errors Detected)</v>
          </cell>
        </row>
      </sheetData>
      <sheetData sheetId="1"/>
      <sheetData sheetId="2"/>
      <sheetData sheetId="3">
        <row r="12">
          <cell r="J12" t="str">
            <v>Monthly</v>
          </cell>
        </row>
      </sheetData>
      <sheetData sheetId="4">
        <row r="1">
          <cell r="B1" t="str">
            <v>Allocation Assumptions</v>
          </cell>
        </row>
      </sheetData>
      <sheetData sheetId="5"/>
      <sheetData sheetId="6">
        <row r="10">
          <cell r="F10" t="str">
            <v>CEO Office</v>
          </cell>
        </row>
      </sheetData>
      <sheetData sheetId="7"/>
      <sheetData sheetId="8"/>
      <sheetData sheetId="9"/>
      <sheetData sheetId="10">
        <row r="19">
          <cell r="A19" t="str">
            <v>1210Utilities</v>
          </cell>
        </row>
      </sheetData>
      <sheetData sheetId="11">
        <row r="19">
          <cell r="A19" t="str">
            <v>1420OMSA</v>
          </cell>
        </row>
      </sheetData>
      <sheetData sheetId="12">
        <row r="19">
          <cell r="A19" t="str">
            <v>2300IT Infrastructure Management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B1" t="str">
            <v>Resources Costs Summary by Financial Year ($'000,Nominal)</v>
          </cell>
        </row>
        <row r="127">
          <cell r="I127">
            <v>1</v>
          </cell>
        </row>
      </sheetData>
      <sheetData sheetId="23"/>
      <sheetData sheetId="24"/>
      <sheetData sheetId="25"/>
      <sheetData sheetId="26"/>
      <sheetData sheetId="27">
        <row r="1">
          <cell r="B1" t="str">
            <v>UED - Capex by Calendar Year ($'000,Nominal)</v>
          </cell>
        </row>
        <row r="87">
          <cell r="F87">
            <v>0</v>
          </cell>
        </row>
      </sheetData>
      <sheetData sheetId="28">
        <row r="1">
          <cell r="B1" t="str">
            <v>UED - Capex by Financial Year ($'000,Nominal)</v>
          </cell>
        </row>
        <row r="87">
          <cell r="F87">
            <v>0</v>
          </cell>
        </row>
      </sheetData>
      <sheetData sheetId="29">
        <row r="1">
          <cell r="B1" t="str">
            <v>UED - Capex by Quarter ($'000,Nominal)</v>
          </cell>
        </row>
        <row r="87">
          <cell r="F87">
            <v>0</v>
          </cell>
        </row>
      </sheetData>
      <sheetData sheetId="30">
        <row r="1">
          <cell r="B1" t="str">
            <v>UED - Capex by Month ($'000,Nominal)</v>
          </cell>
        </row>
        <row r="96">
          <cell r="F96">
            <v>0</v>
          </cell>
        </row>
      </sheetData>
      <sheetData sheetId="31"/>
      <sheetData sheetId="32">
        <row r="1">
          <cell r="B1" t="str">
            <v>UED - Balance Sheet by Month ($'000,Nominal)</v>
          </cell>
        </row>
        <row r="90">
          <cell r="F90">
            <v>1</v>
          </cell>
        </row>
      </sheetData>
      <sheetData sheetId="33"/>
      <sheetData sheetId="34"/>
      <sheetData sheetId="35"/>
      <sheetData sheetId="36"/>
      <sheetData sheetId="37">
        <row r="1">
          <cell r="B1" t="str">
            <v>MGH - Capex by Calendar Year ($'000,Nominal)</v>
          </cell>
        </row>
        <row r="69">
          <cell r="F69">
            <v>0</v>
          </cell>
        </row>
      </sheetData>
      <sheetData sheetId="38">
        <row r="1">
          <cell r="B1" t="str">
            <v>MGH - Capex by Financial Year ($'000,Nominal)</v>
          </cell>
        </row>
        <row r="69">
          <cell r="F69">
            <v>0</v>
          </cell>
        </row>
      </sheetData>
      <sheetData sheetId="39">
        <row r="1">
          <cell r="B1" t="str">
            <v>MGH - Capex by Quarter ($'000,Nominal)</v>
          </cell>
        </row>
        <row r="69">
          <cell r="F69">
            <v>0</v>
          </cell>
        </row>
      </sheetData>
      <sheetData sheetId="40">
        <row r="1">
          <cell r="B1" t="str">
            <v>MGH - Capex by Month ($'000,Nominal)</v>
          </cell>
        </row>
        <row r="78">
          <cell r="F78">
            <v>0</v>
          </cell>
        </row>
      </sheetData>
      <sheetData sheetId="41"/>
      <sheetData sheetId="42">
        <row r="1">
          <cell r="B1" t="str">
            <v>MGH - Balance Sheet by Month ($'000,Nominal)</v>
          </cell>
        </row>
        <row r="70">
          <cell r="F70">
            <v>0</v>
          </cell>
        </row>
      </sheetData>
      <sheetData sheetId="43"/>
      <sheetData sheetId="44">
        <row r="1">
          <cell r="B1" t="str">
            <v>UED - Dept Summary by Month ($'000,Nominal) NOT IN USE</v>
          </cell>
        </row>
        <row r="170">
          <cell r="F170">
            <v>0</v>
          </cell>
        </row>
        <row r="171">
          <cell r="F171">
            <v>1</v>
          </cell>
        </row>
      </sheetData>
      <sheetData sheetId="45">
        <row r="1">
          <cell r="B1" t="str">
            <v>UED - Account Summary by Month ($'000,Nominal)</v>
          </cell>
        </row>
        <row r="414">
          <cell r="F414">
            <v>0</v>
          </cell>
        </row>
      </sheetData>
      <sheetData sheetId="46"/>
      <sheetData sheetId="47"/>
      <sheetData sheetId="48">
        <row r="1">
          <cell r="B1" t="str">
            <v>MGH - Dept Summary by Month ($'000,Nominal) NOT IN USE</v>
          </cell>
        </row>
        <row r="166">
          <cell r="F166">
            <v>0</v>
          </cell>
        </row>
        <row r="167">
          <cell r="F167">
            <v>1</v>
          </cell>
        </row>
      </sheetData>
      <sheetData sheetId="49">
        <row r="1">
          <cell r="B1" t="str">
            <v>MGH - Account Summary by Month</v>
          </cell>
        </row>
        <row r="328">
          <cell r="F328">
            <v>0</v>
          </cell>
        </row>
      </sheetData>
      <sheetData sheetId="50"/>
      <sheetData sheetId="51">
        <row r="1">
          <cell r="B1" t="str">
            <v>Cost Centre Report by Month CEM ($'000,Nominal)</v>
          </cell>
        </row>
      </sheetData>
      <sheetData sheetId="52">
        <row r="1">
          <cell r="B1" t="str">
            <v>Cost Centre Report by Month CEO ($'000,Nominal)</v>
          </cell>
        </row>
      </sheetData>
      <sheetData sheetId="53">
        <row r="1">
          <cell r="B1" t="str">
            <v>Cost Centre Report by Month CMM ($'000,Nominal)</v>
          </cell>
        </row>
      </sheetData>
      <sheetData sheetId="54">
        <row r="1">
          <cell r="B1" t="str">
            <v>Cost Centre Report by Month COM ($'000,Nominal)</v>
          </cell>
        </row>
      </sheetData>
      <sheetData sheetId="55">
        <row r="1">
          <cell r="B1" t="str">
            <v>Cost Centre Report by Month FIN ($'000,Nominal)</v>
          </cell>
        </row>
      </sheetData>
      <sheetData sheetId="56">
        <row r="1">
          <cell r="B1" t="str">
            <v>Cost Centre Report by Month HR ($'000,Nominal)</v>
          </cell>
        </row>
      </sheetData>
      <sheetData sheetId="57">
        <row r="1">
          <cell r="B1" t="str">
            <v>Cost Centre Report by Month IT ($'000,Nominal)</v>
          </cell>
        </row>
      </sheetData>
      <sheetData sheetId="58">
        <row r="1">
          <cell r="B1" t="str">
            <v>Cost Centre Report by Month NIT ($'000,Nominal)</v>
          </cell>
        </row>
      </sheetData>
      <sheetData sheetId="59">
        <row r="1">
          <cell r="B1" t="str">
            <v>Cost Centre Report by Month OHS ($'000,Nominal)</v>
          </cell>
        </row>
      </sheetData>
      <sheetData sheetId="60">
        <row r="1">
          <cell r="B1" t="str">
            <v>Cost Centre Report by Month REG ($'000,Nominal)</v>
          </cell>
        </row>
      </sheetData>
      <sheetData sheetId="61">
        <row r="1">
          <cell r="B1" t="str">
            <v>Cost Centre Report by Month RISK ($'000,Nominal)</v>
          </cell>
        </row>
      </sheetData>
      <sheetData sheetId="62">
        <row r="1">
          <cell r="B1" t="str">
            <v>Cost Centre Report by Month SDN ($'000,Nominal)</v>
          </cell>
        </row>
      </sheetData>
      <sheetData sheetId="63">
        <row r="1">
          <cell r="B1" t="str">
            <v>Cost Centre Report by Month SDS ($'000,Nominal)</v>
          </cell>
        </row>
      </sheetData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1">
          <cell r="B1" t="str">
            <v>Cost Centre 1430 - Report by Month ($'000,Nominal)</v>
          </cell>
        </row>
        <row r="1110">
          <cell r="P1110">
            <v>0</v>
          </cell>
        </row>
      </sheetData>
      <sheetData sheetId="73"/>
      <sheetData sheetId="74"/>
      <sheetData sheetId="75"/>
      <sheetData sheetId="76">
        <row r="12">
          <cell r="D12">
            <v>1</v>
          </cell>
        </row>
      </sheetData>
      <sheetData sheetId="77"/>
      <sheetData sheetId="78">
        <row r="7">
          <cell r="B7" t="str">
            <v>Error Checks</v>
          </cell>
        </row>
        <row r="66">
          <cell r="B66" t="str">
            <v>Sensitivity Checks</v>
          </cell>
        </row>
        <row r="82">
          <cell r="B82" t="str">
            <v>Alert Checks</v>
          </cell>
        </row>
      </sheetData>
      <sheetData sheetId="7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 (S)"/>
      <sheetName val="Capex (N)"/>
      <sheetName val="4. Capex Cost Summary (S)"/>
      <sheetName val="4. Capex Cost Summary (N)"/>
      <sheetName val="3. Opex Cost Summary (S)"/>
      <sheetName val="3. Opex Cost Summary (N)"/>
      <sheetName val="IT CAPEX"/>
      <sheetName val="Summary by Year (NEW)"/>
      <sheetName val="4.3.0 Neg1 Quantitative Summary"/>
      <sheetName val="CMS - Meter Reading Pricing"/>
      <sheetName val="Field Services Transition"/>
      <sheetName val="FTE Budget"/>
      <sheetName val="Other Ntwk Svcs Costs"/>
      <sheetName val="NSP"/>
      <sheetName val="Contents"/>
      <sheetName val="Description"/>
      <sheetName val="Summary by Year"/>
      <sheetName val="A1. Budget by Month(New)"/>
      <sheetName val="A1. Budget by Month"/>
      <sheetName val="A2. Labour Budget"/>
      <sheetName val="A3. Labour Budget Assumptions"/>
      <sheetName val="A4. BudgetForecastAssump"/>
      <sheetName val="A5. IT Budget"/>
      <sheetName val="C1. Capex by Qtr"/>
      <sheetName val="D1. AMP by Qtr FY11-13"/>
      <sheetName val="D2. Updated AMP by Qtr FY 14-18"/>
      <sheetName val="D3. Capex Internal OH by Qtr"/>
      <sheetName val="F1. Ref Line (AS)"/>
      <sheetName val="RAS 7- Meters"/>
      <sheetName val="F2. Forecast (AS)"/>
      <sheetName val="F3. Summary (AS)"/>
      <sheetName val="F4. Maint (AS)"/>
      <sheetName val="Other Operating"/>
      <sheetName val="F5. Other (AS)"/>
      <sheetName val="G1. RBA Inflation"/>
      <sheetName val="Cal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PL for BBJC"/>
      <sheetName val="PAR Cons PL"/>
      <sheetName val="PAR PL by Coy"/>
      <sheetName val="SS_CORT_ PL"/>
      <sheetName val="SS_AFIN_ PL"/>
      <sheetName val="PAR CapWork"/>
      <sheetName val="PAR BS by Coy"/>
      <sheetName val="PAR Cashflow"/>
      <sheetName val="HR&amp;SAFETY KPI"/>
      <sheetName val="SHARE KPI"/>
      <sheetName val="DataGraph"/>
      <sheetName val="DataAct"/>
      <sheetName val="DataBud"/>
      <sheetName val="DataActCORT"/>
      <sheetName val="DataBudCORT"/>
      <sheetName val="DataActAFIN"/>
      <sheetName val="DataBudAFIN"/>
      <sheetName val="DataAct Capex"/>
      <sheetName val="DataBud Capex"/>
      <sheetName val="Date"/>
      <sheetName val="PAR PL by Coy (copy)"/>
      <sheetName val="PAR Cashflow (copy)"/>
      <sheetName val=" Lookup sheet (shared)"/>
      <sheetName val="Cost Centres"/>
      <sheetName val="YTD Direct Costs"/>
      <sheetName val="Men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ory"/>
      <sheetName val="Control"/>
      <sheetName val="SUMMARY"/>
      <sheetName val="OUTPUT"/>
      <sheetName val="Scenario"/>
      <sheetName val="Inputs I"/>
      <sheetName val="Inputs II"/>
      <sheetName val="Cons PL"/>
      <sheetName val="PL Proof"/>
      <sheetName val="Cons CF"/>
      <sheetName val="CF Proof"/>
      <sheetName val="Cons BS"/>
      <sheetName val="BS Proof"/>
      <sheetName val="ANH Cons PL"/>
      <sheetName val="ANH PL Proof"/>
      <sheetName val="ANH Cons BS"/>
      <sheetName val="ANH Proof BS"/>
      <sheetName val="ANH Cons CF"/>
      <sheetName val="ANH CF Proof"/>
      <sheetName val="ALN"/>
      <sheetName val="AFI"/>
      <sheetName val="AGS"/>
      <sheetName val="AGN"/>
      <sheetName val="ANH"/>
      <sheetName val="ANS"/>
      <sheetName val="ACO"/>
      <sheetName val="UEC"/>
      <sheetName val="ALN BS"/>
      <sheetName val="AFI BS"/>
      <sheetName val="AGS BS"/>
      <sheetName val="AGN BS"/>
      <sheetName val="ANH BS"/>
      <sheetName val="ANW BS"/>
      <sheetName val="ANS BS"/>
      <sheetName val="ACO BS"/>
      <sheetName val="NPS"/>
      <sheetName val="NPSWA"/>
      <sheetName val="WAGH BS"/>
      <sheetName val="NPS BS"/>
      <sheetName val="NPSWA BS"/>
      <sheetName val="UEC BS"/>
      <sheetName val="Fees"/>
      <sheetName val="Allocation NDA"/>
      <sheetName val="Assumptions Book"/>
      <sheetName val="Sub PL"/>
      <sheetName val="Sub BS"/>
      <sheetName val="Sub CF"/>
      <sheetName val="Sub PL Proof"/>
      <sheetName val="Sub BS Proof"/>
      <sheetName val="Sub CF Proof"/>
      <sheetName val="Share Split"/>
      <sheetName val="ANSAGS"/>
      <sheetName val="Bank"/>
      <sheetName val="Payments Matr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D3" t="str">
            <v>Months</v>
          </cell>
        </row>
        <row r="4">
          <cell r="D4">
            <v>37622</v>
          </cell>
          <cell r="E4">
            <v>37653</v>
          </cell>
          <cell r="F4">
            <v>37681</v>
          </cell>
          <cell r="G4">
            <v>37712</v>
          </cell>
          <cell r="H4">
            <v>37742</v>
          </cell>
          <cell r="I4">
            <v>37773</v>
          </cell>
        </row>
        <row r="66">
          <cell r="D66">
            <v>0.19574522</v>
          </cell>
          <cell r="E66">
            <v>0.20021327999999999</v>
          </cell>
          <cell r="F66">
            <v>0.21542022</v>
          </cell>
          <cell r="G66">
            <v>0.22216348000000002</v>
          </cell>
          <cell r="H66">
            <v>0.20868173000000001</v>
          </cell>
          <cell r="I66">
            <v>0.24229541000000002</v>
          </cell>
        </row>
        <row r="67">
          <cell r="D67">
            <v>6.6526274999999986</v>
          </cell>
          <cell r="E67">
            <v>5.6483580200000008</v>
          </cell>
          <cell r="F67">
            <v>6.5873309299999994</v>
          </cell>
          <cell r="G67">
            <v>7.6297353499999989</v>
          </cell>
          <cell r="H67">
            <v>8.5977521999999986</v>
          </cell>
          <cell r="I67">
            <v>13.40591893</v>
          </cell>
        </row>
        <row r="68">
          <cell r="D68">
            <v>0.10084497000000001</v>
          </cell>
          <cell r="E68">
            <v>0.45071291999999996</v>
          </cell>
          <cell r="F68">
            <v>0.33245094999999997</v>
          </cell>
          <cell r="G68">
            <v>0.12253295</v>
          </cell>
          <cell r="H68">
            <v>0.43522712999999996</v>
          </cell>
          <cell r="I68">
            <v>0.34255707000000002</v>
          </cell>
        </row>
        <row r="69">
          <cell r="D69">
            <v>0.11761000000000001</v>
          </cell>
          <cell r="E69">
            <v>0.10989400000000001</v>
          </cell>
          <cell r="F69">
            <v>0.12453220000000001</v>
          </cell>
          <cell r="G69">
            <v>0.10846739999999999</v>
          </cell>
          <cell r="H69">
            <v>0.108533</v>
          </cell>
          <cell r="I69">
            <v>0.10716500000000001</v>
          </cell>
        </row>
        <row r="72">
          <cell r="D72">
            <v>1.45327703</v>
          </cell>
          <cell r="E72">
            <v>1.80779125</v>
          </cell>
          <cell r="F72">
            <v>1.4405014000000003</v>
          </cell>
          <cell r="G72">
            <v>1.65200587</v>
          </cell>
          <cell r="H72">
            <v>2.0616600699999998</v>
          </cell>
          <cell r="I72">
            <v>1.8285125200000005</v>
          </cell>
        </row>
        <row r="75">
          <cell r="D75">
            <v>0.16472487000000002</v>
          </cell>
          <cell r="E75">
            <v>0.15130452</v>
          </cell>
          <cell r="F75">
            <v>0.16847494000000002</v>
          </cell>
          <cell r="G75">
            <v>0.17660049999999999</v>
          </cell>
          <cell r="H75">
            <v>0.29827707000000003</v>
          </cell>
          <cell r="I75">
            <v>0.30686773000000001</v>
          </cell>
        </row>
        <row r="76">
          <cell r="D76">
            <v>0.76559107999999987</v>
          </cell>
          <cell r="E76">
            <v>0.76095891000000004</v>
          </cell>
          <cell r="F76">
            <v>0.76504378999999989</v>
          </cell>
          <cell r="G76">
            <v>0.76026196000000001</v>
          </cell>
          <cell r="H76">
            <v>0.76876995999999997</v>
          </cell>
          <cell r="I76">
            <v>0.8503343699999999</v>
          </cell>
        </row>
        <row r="78">
          <cell r="D78">
            <v>2.3835929799999995</v>
          </cell>
          <cell r="E78">
            <v>2.7200546800000001</v>
          </cell>
          <cell r="F78">
            <v>2.3740201300000003</v>
          </cell>
          <cell r="G78">
            <v>2.5888683299999999</v>
          </cell>
          <cell r="H78">
            <v>3.1287070999999997</v>
          </cell>
          <cell r="I78">
            <v>2.9857146200000004</v>
          </cell>
        </row>
        <row r="80">
          <cell r="D80">
            <v>1.4763949999999999</v>
          </cell>
          <cell r="E80">
            <v>1.4818950000000002</v>
          </cell>
          <cell r="F80">
            <v>1.4872270000000001</v>
          </cell>
          <cell r="G80">
            <v>1.4934500000000002</v>
          </cell>
          <cell r="H80">
            <v>1.4979420000000003</v>
          </cell>
          <cell r="I80">
            <v>1.5037787900000004</v>
          </cell>
        </row>
        <row r="81">
          <cell r="D81">
            <v>6.8099999999999994E-2</v>
          </cell>
          <cell r="E81">
            <v>6.8099999999999994E-2</v>
          </cell>
          <cell r="F81">
            <v>6.8099999999999994E-2</v>
          </cell>
          <cell r="G81">
            <v>6.8099999999999994E-2</v>
          </cell>
          <cell r="H81">
            <v>6.8099999999999994E-2</v>
          </cell>
          <cell r="I81">
            <v>6.8099999999999994E-2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3">
          <cell r="D83">
            <v>2.5569472599999998</v>
          </cell>
          <cell r="E83">
            <v>2.30045156</v>
          </cell>
          <cell r="F83">
            <v>2.5469285199999998</v>
          </cell>
          <cell r="G83">
            <v>2.4114196400000001</v>
          </cell>
          <cell r="H83">
            <v>2.4762618700000001</v>
          </cell>
          <cell r="I83">
            <v>2.28719589</v>
          </cell>
        </row>
        <row r="84">
          <cell r="D84">
            <v>0.26204100000000002</v>
          </cell>
          <cell r="E84">
            <v>3.2655999999999998E-2</v>
          </cell>
          <cell r="F84">
            <v>0.32258600000000004</v>
          </cell>
          <cell r="G84">
            <v>0.54174500000000003</v>
          </cell>
          <cell r="H84">
            <v>0.74151300000000009</v>
          </cell>
          <cell r="I84">
            <v>2.41694349</v>
          </cell>
        </row>
        <row r="86">
          <cell r="D86">
            <v>0.31975144999999899</v>
          </cell>
          <cell r="E86">
            <v>-0.19397901999999936</v>
          </cell>
          <cell r="F86">
            <v>0.46087264999999911</v>
          </cell>
          <cell r="G86">
            <v>0.97931620999999891</v>
          </cell>
          <cell r="H86">
            <v>1.4376700899999979</v>
          </cell>
          <cell r="I86">
            <v>4.8362036199999983</v>
          </cell>
        </row>
        <row r="87">
          <cell r="D87">
            <v>0.3197514499999991</v>
          </cell>
          <cell r="E87">
            <v>-0.19397901999999975</v>
          </cell>
          <cell r="F87">
            <v>0.46087265000000044</v>
          </cell>
          <cell r="G87">
            <v>0.9793162099999978</v>
          </cell>
          <cell r="H87">
            <v>1.4376700899999977</v>
          </cell>
          <cell r="I87">
            <v>4.8362036200000009</v>
          </cell>
        </row>
        <row r="88">
          <cell r="D88">
            <v>0</v>
          </cell>
          <cell r="E88">
            <v>3.8857805861880479E-16</v>
          </cell>
          <cell r="F88">
            <v>-1.3322676295501878E-15</v>
          </cell>
          <cell r="G88">
            <v>1.1102230246251565E-15</v>
          </cell>
          <cell r="H88">
            <v>0</v>
          </cell>
          <cell r="I88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</row>
        <row r="92">
          <cell r="E92">
            <v>2.6322251999999997</v>
          </cell>
        </row>
        <row r="95">
          <cell r="F95">
            <v>1.524</v>
          </cell>
          <cell r="G95">
            <v>0</v>
          </cell>
          <cell r="H95">
            <v>0</v>
          </cell>
          <cell r="I95">
            <v>1.8110029999999999</v>
          </cell>
        </row>
        <row r="96">
          <cell r="F96">
            <v>19.241</v>
          </cell>
          <cell r="G96">
            <v>0</v>
          </cell>
          <cell r="H96">
            <v>0</v>
          </cell>
          <cell r="I96">
            <v>29.960605000000001</v>
          </cell>
        </row>
        <row r="99">
          <cell r="F99">
            <v>-6.14</v>
          </cell>
          <cell r="G99">
            <v>0</v>
          </cell>
          <cell r="H99">
            <v>0</v>
          </cell>
          <cell r="I99">
            <v>-6.8271939999999995</v>
          </cell>
        </row>
        <row r="101">
          <cell r="F101">
            <v>-0.48499999999999999</v>
          </cell>
          <cell r="G101">
            <v>0</v>
          </cell>
          <cell r="H101">
            <v>0</v>
          </cell>
          <cell r="I101">
            <v>-0.83881300000000014</v>
          </cell>
        </row>
        <row r="102">
          <cell r="F102">
            <v>-2.2650000000000001</v>
          </cell>
          <cell r="G102">
            <v>0</v>
          </cell>
          <cell r="H102">
            <v>0</v>
          </cell>
          <cell r="I102">
            <v>-2.2985972600000024</v>
          </cell>
        </row>
        <row r="105">
          <cell r="F105">
            <v>-7.4039999999999999</v>
          </cell>
          <cell r="G105">
            <v>0</v>
          </cell>
          <cell r="H105">
            <v>0</v>
          </cell>
          <cell r="I105">
            <v>-7.1752047400000016</v>
          </cell>
        </row>
        <row r="107">
          <cell r="F107">
            <v>-1.9E-2</v>
          </cell>
          <cell r="G107">
            <v>0</v>
          </cell>
          <cell r="H107">
            <v>0</v>
          </cell>
          <cell r="I107">
            <v>-7.1293350000000002</v>
          </cell>
        </row>
        <row r="108">
          <cell r="F108">
            <v>1.1319999999999999</v>
          </cell>
          <cell r="G108">
            <v>0</v>
          </cell>
          <cell r="H108">
            <v>0</v>
          </cell>
          <cell r="I108">
            <v>0.8099320000000001</v>
          </cell>
        </row>
        <row r="109">
          <cell r="F109">
            <v>-6.13</v>
          </cell>
          <cell r="G109">
            <v>0</v>
          </cell>
          <cell r="H109">
            <v>0</v>
          </cell>
          <cell r="I109">
            <v>-5.9832560000000017</v>
          </cell>
        </row>
        <row r="111">
          <cell r="F111">
            <v>0</v>
          </cell>
          <cell r="G111">
            <v>0</v>
          </cell>
          <cell r="H111">
            <v>0</v>
          </cell>
          <cell r="I111">
            <v>4.0016259999999999</v>
          </cell>
        </row>
        <row r="112"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F113">
            <v>0.03</v>
          </cell>
          <cell r="G113">
            <v>0</v>
          </cell>
          <cell r="H113">
            <v>0</v>
          </cell>
          <cell r="I113">
            <v>2.1567000000000003E-2</v>
          </cell>
        </row>
        <row r="118">
          <cell r="F118">
            <v>-0.51599599999999968</v>
          </cell>
          <cell r="G118">
            <v>0</v>
          </cell>
          <cell r="H118">
            <v>0</v>
          </cell>
          <cell r="I118">
            <v>6.3525889999999965</v>
          </cell>
        </row>
        <row r="119">
          <cell r="D119">
            <v>0</v>
          </cell>
          <cell r="E119">
            <v>0</v>
          </cell>
          <cell r="F119">
            <v>-0.51600000000000024</v>
          </cell>
          <cell r="G119">
            <v>0</v>
          </cell>
          <cell r="H119">
            <v>0</v>
          </cell>
          <cell r="I119">
            <v>6.3523329999999962</v>
          </cell>
        </row>
        <row r="120">
          <cell r="D120">
            <v>0</v>
          </cell>
          <cell r="E120">
            <v>0</v>
          </cell>
          <cell r="F120">
            <v>4.0000000005591119E-6</v>
          </cell>
          <cell r="G120">
            <v>0</v>
          </cell>
          <cell r="H120">
            <v>0</v>
          </cell>
          <cell r="I120">
            <v>2.5600000000025602E-4</v>
          </cell>
        </row>
        <row r="124">
          <cell r="D124">
            <v>2.8582734614946603E-2</v>
          </cell>
          <cell r="E124">
            <v>3.4232852731059291E-2</v>
          </cell>
          <cell r="F124">
            <v>3.1666632403568082E-2</v>
          </cell>
          <cell r="G124">
            <v>2.8294236185414531E-2</v>
          </cell>
          <cell r="H124">
            <v>2.3696507764522572E-2</v>
          </cell>
          <cell r="I124">
            <v>1.7752901878884182E-2</v>
          </cell>
        </row>
        <row r="215">
          <cell r="D215">
            <v>9.854281799999999</v>
          </cell>
          <cell r="E215">
            <v>8.9825889300000004</v>
          </cell>
          <cell r="F215">
            <v>9.8308480300000003</v>
          </cell>
          <cell r="G215">
            <v>10.177830830000001</v>
          </cell>
          <cell r="H215">
            <v>11.018244780000002</v>
          </cell>
          <cell r="I215">
            <v>9.4764652499999986</v>
          </cell>
        </row>
        <row r="216">
          <cell r="D216">
            <v>5.9971599000000007</v>
          </cell>
          <cell r="E216">
            <v>8.4497309999999999</v>
          </cell>
          <cell r="F216">
            <v>7.2008519100000008</v>
          </cell>
          <cell r="G216">
            <v>6.5356442999999995</v>
          </cell>
          <cell r="H216">
            <v>7.853317370000001</v>
          </cell>
          <cell r="I216">
            <v>7.3989395300000007</v>
          </cell>
        </row>
        <row r="217">
          <cell r="D217">
            <v>5.3051068497332965</v>
          </cell>
          <cell r="E217">
            <v>4.6650009692545984</v>
          </cell>
          <cell r="F217">
            <v>4.9094742415818136</v>
          </cell>
          <cell r="G217">
            <v>4.8225569312808965</v>
          </cell>
          <cell r="H217">
            <v>4.031710205642514</v>
          </cell>
          <cell r="I217">
            <v>4.6463238306589396</v>
          </cell>
        </row>
        <row r="218">
          <cell r="D218">
            <v>0.16472486999999997</v>
          </cell>
          <cell r="E218">
            <v>0.15130452</v>
          </cell>
          <cell r="F218">
            <v>0.16847494000000002</v>
          </cell>
          <cell r="G218">
            <v>0.17660050000000002</v>
          </cell>
          <cell r="H218">
            <v>0.29827706999999998</v>
          </cell>
          <cell r="I218">
            <v>0.30686773000000001</v>
          </cell>
        </row>
        <row r="219">
          <cell r="D219">
            <v>0.16472486999999997</v>
          </cell>
          <cell r="E219">
            <v>0.15130452</v>
          </cell>
          <cell r="F219">
            <v>0.16847494000000002</v>
          </cell>
          <cell r="G219">
            <v>0.17660050000000002</v>
          </cell>
          <cell r="H219">
            <v>0.29827706999999998</v>
          </cell>
          <cell r="I219">
            <v>0.30686773000000001</v>
          </cell>
        </row>
        <row r="220">
          <cell r="D220">
            <v>10.626437710000001</v>
          </cell>
          <cell r="E220">
            <v>8.8445519400000006</v>
          </cell>
          <cell r="F220">
            <v>10.040015199999999</v>
          </cell>
          <cell r="G220">
            <v>11.51082774</v>
          </cell>
          <cell r="H220">
            <v>14.343634590000001</v>
          </cell>
          <cell r="I220">
            <v>24.047649740000001</v>
          </cell>
        </row>
        <row r="221">
          <cell r="D221">
            <v>3.0374959999999999E-2</v>
          </cell>
          <cell r="E221">
            <v>5.8234379999999995E-2</v>
          </cell>
          <cell r="F221">
            <v>0.10089484</v>
          </cell>
          <cell r="G221">
            <v>0.11951416000000001</v>
          </cell>
          <cell r="H221">
            <v>5.4791379999999994E-2</v>
          </cell>
          <cell r="I221">
            <v>0.11821836000000001</v>
          </cell>
        </row>
        <row r="222">
          <cell r="D222">
            <v>11.757473156856772</v>
          </cell>
          <cell r="E222">
            <v>10.621675542931829</v>
          </cell>
          <cell r="F222">
            <v>8.0101553197087476</v>
          </cell>
          <cell r="G222">
            <v>8.4008517198620858</v>
          </cell>
          <cell r="H222">
            <v>11.451933140090585</v>
          </cell>
          <cell r="I222">
            <v>12.389795310404889</v>
          </cell>
        </row>
        <row r="223">
          <cell r="D223">
            <v>4.2779999999999996</v>
          </cell>
          <cell r="E223">
            <v>3.7509999999999999</v>
          </cell>
          <cell r="F223">
            <v>4.1820000000000004</v>
          </cell>
          <cell r="G223">
            <v>4.1415800000000003</v>
          </cell>
          <cell r="H223">
            <v>5.2730560000000004</v>
          </cell>
          <cell r="I223">
            <v>5.3670069999999992</v>
          </cell>
        </row>
        <row r="224">
          <cell r="D224">
            <v>6.7702375000000004</v>
          </cell>
          <cell r="E224">
            <v>5.7582520199999996</v>
          </cell>
          <cell r="F224">
            <v>6.7118631299999993</v>
          </cell>
          <cell r="G224">
            <v>7.7382027500000001</v>
          </cell>
          <cell r="H224">
            <v>8.7062851999999982</v>
          </cell>
          <cell r="I224">
            <v>13.513083929999999</v>
          </cell>
        </row>
        <row r="225">
          <cell r="D225">
            <v>6.7702375000000004</v>
          </cell>
          <cell r="E225">
            <v>5.7582520199999996</v>
          </cell>
          <cell r="F225">
            <v>6.7118631299999993</v>
          </cell>
          <cell r="G225">
            <v>7.7382027500000001</v>
          </cell>
          <cell r="H225">
            <v>8.7062851999999982</v>
          </cell>
          <cell r="I225">
            <v>13.513083929999999</v>
          </cell>
        </row>
        <row r="226">
          <cell r="D226">
            <v>0.38730850000000006</v>
          </cell>
          <cell r="E226">
            <v>0.37649360000000004</v>
          </cell>
          <cell r="F226">
            <v>0.39768987999999994</v>
          </cell>
          <cell r="G226">
            <v>0.34015878000000005</v>
          </cell>
          <cell r="H226">
            <v>0.37642578000000004</v>
          </cell>
          <cell r="I226">
            <v>0.39305464000000001</v>
          </cell>
        </row>
        <row r="227">
          <cell r="D227">
            <v>0.14559234000000001</v>
          </cell>
          <cell r="E227">
            <v>0.14559234000000001</v>
          </cell>
          <cell r="F227">
            <v>0.14559234000000001</v>
          </cell>
          <cell r="G227">
            <v>0.14559234000000001</v>
          </cell>
          <cell r="H227">
            <v>0.14559234000000001</v>
          </cell>
          <cell r="I227">
            <v>0.14559234000000001</v>
          </cell>
        </row>
        <row r="228">
          <cell r="D228">
            <v>0.53979997999999996</v>
          </cell>
          <cell r="E228">
            <v>0.48565089</v>
          </cell>
          <cell r="F228">
            <v>0.42448808999999998</v>
          </cell>
          <cell r="G228">
            <v>0.37510971999999998</v>
          </cell>
          <cell r="H228">
            <v>0.38519629</v>
          </cell>
          <cell r="I228">
            <v>0.35578603000000003</v>
          </cell>
        </row>
        <row r="229">
          <cell r="D229">
            <v>-1.8637500000000236E-3</v>
          </cell>
          <cell r="E229">
            <v>-0.11354050000000007</v>
          </cell>
          <cell r="F229">
            <v>-8.2957100000000238E-3</v>
          </cell>
          <cell r="G229">
            <v>4.0189699999999993E-3</v>
          </cell>
          <cell r="H229">
            <v>-3.896650000000008E-3</v>
          </cell>
          <cell r="I229">
            <v>-6.2350200000000373E-3</v>
          </cell>
        </row>
        <row r="230"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5.7563999999999997E-2</v>
          </cell>
        </row>
        <row r="232">
          <cell r="D232">
            <v>0.23880679000000002</v>
          </cell>
          <cell r="E232">
            <v>0.22840154000000001</v>
          </cell>
          <cell r="F232">
            <v>0.49530427999999993</v>
          </cell>
          <cell r="G232">
            <v>0.18176017000000005</v>
          </cell>
          <cell r="H232">
            <v>0.22227309000000006</v>
          </cell>
          <cell r="I232">
            <v>0.14132816000000001</v>
          </cell>
        </row>
        <row r="233">
          <cell r="D233">
            <v>0.60916539999999997</v>
          </cell>
          <cell r="E233">
            <v>0.8092743200000001</v>
          </cell>
          <cell r="F233">
            <v>0.56662335000000008</v>
          </cell>
          <cell r="G233">
            <v>0.82676479999999986</v>
          </cell>
          <cell r="H233">
            <v>0.78780936999999995</v>
          </cell>
          <cell r="I233">
            <v>0.90530736999999983</v>
          </cell>
        </row>
        <row r="234">
          <cell r="D234">
            <v>0.9627529199999999</v>
          </cell>
          <cell r="E234">
            <v>0.93647306000000008</v>
          </cell>
          <cell r="F234">
            <v>0.97488092000000004</v>
          </cell>
          <cell r="G234">
            <v>0.93767449000000003</v>
          </cell>
          <cell r="H234">
            <v>0.97674641999999989</v>
          </cell>
          <cell r="I234">
            <v>0.91344458000000006</v>
          </cell>
        </row>
        <row r="235">
          <cell r="D235">
            <v>1.1519999999999998E-3</v>
          </cell>
          <cell r="E235">
            <v>1.15E-3</v>
          </cell>
          <cell r="F235">
            <v>1.1510000000000001E-3</v>
          </cell>
          <cell r="G235">
            <v>1.15E-3</v>
          </cell>
          <cell r="H235">
            <v>8.7000000000000001E-4</v>
          </cell>
          <cell r="I235">
            <v>8.7199999999999995E-4</v>
          </cell>
        </row>
        <row r="236"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D237">
            <v>0.93833</v>
          </cell>
          <cell r="E237">
            <v>1.5826300000000002</v>
          </cell>
          <cell r="F237">
            <v>2.2081360000000001</v>
          </cell>
          <cell r="G237">
            <v>2.1488100000000001</v>
          </cell>
          <cell r="H237">
            <v>2.1172840000000002</v>
          </cell>
          <cell r="I237">
            <v>2.7228546200000001</v>
          </cell>
        </row>
        <row r="238"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</row>
        <row r="241">
          <cell r="D241">
            <v>0</v>
          </cell>
          <cell r="E241">
            <v>0</v>
          </cell>
          <cell r="F241">
            <v>77.745999999999995</v>
          </cell>
          <cell r="G241">
            <v>0</v>
          </cell>
          <cell r="H241">
            <v>0</v>
          </cell>
          <cell r="I241">
            <v>81.060345999999996</v>
          </cell>
        </row>
        <row r="242">
          <cell r="D242">
            <v>0</v>
          </cell>
          <cell r="E242">
            <v>0</v>
          </cell>
          <cell r="F242">
            <v>0.48399999999999999</v>
          </cell>
          <cell r="G242">
            <v>0</v>
          </cell>
          <cell r="H242">
            <v>0</v>
          </cell>
          <cell r="I242">
            <v>0.83981300000000014</v>
          </cell>
        </row>
        <row r="243">
          <cell r="D243">
            <v>0</v>
          </cell>
          <cell r="E243">
            <v>0</v>
          </cell>
          <cell r="F243">
            <v>-52.593000000000004</v>
          </cell>
          <cell r="G243">
            <v>0</v>
          </cell>
          <cell r="H243">
            <v>0</v>
          </cell>
          <cell r="I243">
            <v>-45.805410999999992</v>
          </cell>
        </row>
        <row r="244">
          <cell r="D244">
            <v>0</v>
          </cell>
          <cell r="E244">
            <v>0</v>
          </cell>
          <cell r="F244">
            <v>-18.888000000000002</v>
          </cell>
          <cell r="G244">
            <v>0</v>
          </cell>
          <cell r="H244">
            <v>0</v>
          </cell>
          <cell r="I244">
            <v>-29.6337229999999</v>
          </cell>
        </row>
        <row r="245">
          <cell r="D245">
            <v>0</v>
          </cell>
          <cell r="E245">
            <v>0</v>
          </cell>
          <cell r="F245">
            <v>-3.2280000000000002</v>
          </cell>
          <cell r="G245">
            <v>0</v>
          </cell>
          <cell r="H245">
            <v>0</v>
          </cell>
          <cell r="I245">
            <v>-3.1539870000000954</v>
          </cell>
        </row>
        <row r="246"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</row>
        <row r="247">
          <cell r="D247">
            <v>0</v>
          </cell>
          <cell r="E247">
            <v>0</v>
          </cell>
          <cell r="F247">
            <v>1.45</v>
          </cell>
          <cell r="G247">
            <v>0</v>
          </cell>
          <cell r="H247">
            <v>0</v>
          </cell>
          <cell r="I247">
            <v>1.1160309999999998</v>
          </cell>
        </row>
        <row r="248">
          <cell r="D248">
            <v>0</v>
          </cell>
          <cell r="E248">
            <v>0</v>
          </cell>
          <cell r="F248">
            <v>-2.6560000000000001</v>
          </cell>
          <cell r="G248">
            <v>0</v>
          </cell>
          <cell r="H248">
            <v>0</v>
          </cell>
          <cell r="I248">
            <v>-3.3349259999999998</v>
          </cell>
        </row>
        <row r="249">
          <cell r="D249">
            <v>0</v>
          </cell>
          <cell r="E249">
            <v>0</v>
          </cell>
          <cell r="F249">
            <v>-4.8239999999999998</v>
          </cell>
          <cell r="G249">
            <v>0</v>
          </cell>
          <cell r="H249">
            <v>0</v>
          </cell>
          <cell r="I249">
            <v>-5.8389720000000001</v>
          </cell>
        </row>
        <row r="250">
          <cell r="D250">
            <v>0</v>
          </cell>
          <cell r="E250">
            <v>0</v>
          </cell>
          <cell r="F250">
            <v>1.9999999999999999E-6</v>
          </cell>
          <cell r="G250">
            <v>0</v>
          </cell>
          <cell r="H250">
            <v>0</v>
          </cell>
          <cell r="I250">
            <v>-1.9999999999999999E-6</v>
          </cell>
        </row>
        <row r="251">
          <cell r="D251">
            <v>0</v>
          </cell>
          <cell r="E251">
            <v>0</v>
          </cell>
          <cell r="F251">
            <v>4.0000000000000001E-3</v>
          </cell>
          <cell r="G251">
            <v>0</v>
          </cell>
          <cell r="H251">
            <v>0</v>
          </cell>
          <cell r="I251">
            <v>2.9273000000000004E-2</v>
          </cell>
        </row>
        <row r="252">
          <cell r="D252">
            <v>0</v>
          </cell>
          <cell r="E252">
            <v>0</v>
          </cell>
          <cell r="F252">
            <v>20</v>
          </cell>
          <cell r="G252">
            <v>0</v>
          </cell>
          <cell r="H252">
            <v>0</v>
          </cell>
          <cell r="I252">
            <v>5</v>
          </cell>
        </row>
        <row r="253">
          <cell r="D253">
            <v>0</v>
          </cell>
          <cell r="E253">
            <v>0</v>
          </cell>
          <cell r="F253">
            <v>1.9999999999999999E-6</v>
          </cell>
          <cell r="G253">
            <v>0</v>
          </cell>
          <cell r="H253">
            <v>0</v>
          </cell>
          <cell r="I253">
            <v>-1.9999999999999999E-6</v>
          </cell>
        </row>
        <row r="254">
          <cell r="D254">
            <v>0</v>
          </cell>
          <cell r="E254">
            <v>0</v>
          </cell>
          <cell r="F254">
            <v>-22.4</v>
          </cell>
          <cell r="G254">
            <v>0</v>
          </cell>
          <cell r="H254">
            <v>0</v>
          </cell>
          <cell r="I254">
            <v>0</v>
          </cell>
        </row>
        <row r="255">
          <cell r="D255">
            <v>0</v>
          </cell>
          <cell r="E255">
            <v>0</v>
          </cell>
          <cell r="F255">
            <v>-4.9049960000000148</v>
          </cell>
          <cell r="G255">
            <v>0</v>
          </cell>
          <cell r="H255">
            <v>0</v>
          </cell>
          <cell r="I255">
            <v>0.27844000000001429</v>
          </cell>
        </row>
        <row r="263">
          <cell r="D263">
            <v>0.1136421</v>
          </cell>
          <cell r="E263">
            <v>0.10224229</v>
          </cell>
          <cell r="F263">
            <v>0.11319682</v>
          </cell>
          <cell r="G263">
            <v>0.10717421000000001</v>
          </cell>
          <cell r="H263">
            <v>0.21230173000000002</v>
          </cell>
          <cell r="I263">
            <v>0.25413288000000001</v>
          </cell>
        </row>
        <row r="264">
          <cell r="D264">
            <v>1.7683440000000001</v>
          </cell>
          <cell r="E264">
            <v>1.73743197</v>
          </cell>
          <cell r="F264">
            <v>1.77992471</v>
          </cell>
          <cell r="G264">
            <v>1.7379364500000001</v>
          </cell>
          <cell r="H264">
            <v>1.78551638</v>
          </cell>
          <cell r="I264">
            <v>1.7462149500000002</v>
          </cell>
        </row>
        <row r="266"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</row>
        <row r="267">
          <cell r="D267">
            <v>0.37806241000000002</v>
          </cell>
          <cell r="E267">
            <v>0.387264</v>
          </cell>
          <cell r="F267">
            <v>0.38883475000000001</v>
          </cell>
          <cell r="G267">
            <v>0.38465199999999999</v>
          </cell>
          <cell r="H267">
            <v>0.38871909000000004</v>
          </cell>
          <cell r="I267">
            <v>0.51356221000000002</v>
          </cell>
        </row>
        <row r="268">
          <cell r="D268">
            <v>0.6375906699999998</v>
          </cell>
          <cell r="E268">
            <v>0.71307552999999979</v>
          </cell>
          <cell r="F268">
            <v>0.38082792999999998</v>
          </cell>
          <cell r="G268">
            <v>0.54555745999999983</v>
          </cell>
          <cell r="H268">
            <v>0.66379633000000005</v>
          </cell>
          <cell r="I268">
            <v>0.97709790000000019</v>
          </cell>
        </row>
        <row r="269">
          <cell r="D269">
            <v>1.54221031</v>
          </cell>
          <cell r="E269">
            <v>3.4342427100000004</v>
          </cell>
          <cell r="F269">
            <v>2.31216891</v>
          </cell>
          <cell r="G269">
            <v>3.2908031999999996</v>
          </cell>
          <cell r="H269">
            <v>3.2501553900000002</v>
          </cell>
          <cell r="I269">
            <v>-0.20899783999999971</v>
          </cell>
        </row>
        <row r="271">
          <cell r="D271">
            <v>0.32660400000000001</v>
          </cell>
          <cell r="E271">
            <v>0.32676100000000002</v>
          </cell>
          <cell r="F271">
            <v>0.32700699999999999</v>
          </cell>
          <cell r="G271">
            <v>0.327407</v>
          </cell>
          <cell r="H271">
            <v>0.32808499999999996</v>
          </cell>
          <cell r="I271">
            <v>0.32866073999999995</v>
          </cell>
        </row>
        <row r="272">
          <cell r="D272">
            <v>9.0783999999999993E-4</v>
          </cell>
          <cell r="E272">
            <v>8.6903999999999996E-4</v>
          </cell>
          <cell r="F272">
            <v>8.3001000000000006E-4</v>
          </cell>
          <cell r="G272">
            <v>8.5921999999999995E-4</v>
          </cell>
          <cell r="H272">
            <v>8.1632000000000004E-4</v>
          </cell>
          <cell r="I272">
            <v>7.7316999999999989E-4</v>
          </cell>
        </row>
        <row r="273">
          <cell r="D273">
            <v>0.14845</v>
          </cell>
          <cell r="E273">
            <v>7.0004000000000011E-2</v>
          </cell>
          <cell r="F273">
            <v>4.5050000000000003E-3</v>
          </cell>
          <cell r="G273">
            <v>0.229798</v>
          </cell>
          <cell r="H273">
            <v>4.9337000000000006E-2</v>
          </cell>
          <cell r="I273">
            <v>-0.27622079999999999</v>
          </cell>
        </row>
        <row r="274">
          <cell r="F274">
            <v>0</v>
          </cell>
          <cell r="G274">
            <v>0</v>
          </cell>
          <cell r="H274">
            <v>0</v>
          </cell>
          <cell r="I274">
            <v>0</v>
          </cell>
        </row>
        <row r="277">
          <cell r="F277">
            <v>1.389</v>
          </cell>
          <cell r="G277">
            <v>0</v>
          </cell>
          <cell r="H277">
            <v>0</v>
          </cell>
          <cell r="I277">
            <v>0.42813699999999999</v>
          </cell>
        </row>
        <row r="278">
          <cell r="F278">
            <v>5.2610000000000001</v>
          </cell>
          <cell r="G278">
            <v>0</v>
          </cell>
          <cell r="H278">
            <v>0</v>
          </cell>
          <cell r="I278">
            <v>5.245309999999999</v>
          </cell>
        </row>
        <row r="279">
          <cell r="F279">
            <v>-10.426</v>
          </cell>
          <cell r="G279">
            <v>0</v>
          </cell>
          <cell r="H279">
            <v>0</v>
          </cell>
          <cell r="I279">
            <v>0.4529999999999994</v>
          </cell>
        </row>
        <row r="280">
          <cell r="F280">
            <v>0.32900000000000001</v>
          </cell>
          <cell r="G280">
            <v>0</v>
          </cell>
          <cell r="H280">
            <v>0</v>
          </cell>
          <cell r="I280">
            <v>0.57369000000000003</v>
          </cell>
        </row>
        <row r="281">
          <cell r="F281">
            <v>-3.0000000000000001E-3</v>
          </cell>
          <cell r="G281">
            <v>0</v>
          </cell>
          <cell r="H281">
            <v>0</v>
          </cell>
          <cell r="I281">
            <v>-2E-3</v>
          </cell>
        </row>
        <row r="282">
          <cell r="F282">
            <v>0.309</v>
          </cell>
          <cell r="G282">
            <v>0</v>
          </cell>
          <cell r="H282">
            <v>0</v>
          </cell>
          <cell r="I282">
            <v>0.192</v>
          </cell>
        </row>
        <row r="283">
          <cell r="F283">
            <v>-8.0000000000000002E-3</v>
          </cell>
          <cell r="G283">
            <v>0</v>
          </cell>
          <cell r="H283">
            <v>0</v>
          </cell>
          <cell r="I283">
            <v>-3.1579999999999999</v>
          </cell>
        </row>
        <row r="284">
          <cell r="F284">
            <v>22.4</v>
          </cell>
          <cell r="G284">
            <v>0</v>
          </cell>
          <cell r="H284">
            <v>0</v>
          </cell>
          <cell r="I284">
            <v>0</v>
          </cell>
        </row>
        <row r="285">
          <cell r="F285">
            <v>-0.38300000000000001</v>
          </cell>
          <cell r="G285">
            <v>0</v>
          </cell>
          <cell r="H285">
            <v>0</v>
          </cell>
          <cell r="I285">
            <v>-0.51400000000000001</v>
          </cell>
        </row>
        <row r="286">
          <cell r="F286">
            <v>0</v>
          </cell>
          <cell r="G286">
            <v>0</v>
          </cell>
          <cell r="H286">
            <v>0</v>
          </cell>
          <cell r="I286">
            <v>0</v>
          </cell>
        </row>
        <row r="287">
          <cell r="F287">
            <v>0</v>
          </cell>
          <cell r="G287">
            <v>0</v>
          </cell>
          <cell r="H287">
            <v>0</v>
          </cell>
          <cell r="I287">
            <v>0</v>
          </cell>
        </row>
        <row r="288">
          <cell r="F288">
            <v>0</v>
          </cell>
          <cell r="G288">
            <v>0</v>
          </cell>
          <cell r="H288">
            <v>0</v>
          </cell>
          <cell r="I288">
            <v>-34.001626000000002</v>
          </cell>
        </row>
        <row r="289">
          <cell r="F289">
            <v>0</v>
          </cell>
          <cell r="G289">
            <v>0</v>
          </cell>
          <cell r="H289">
            <v>0</v>
          </cell>
          <cell r="I289">
            <v>36</v>
          </cell>
        </row>
        <row r="290">
          <cell r="F290">
            <v>-22.4</v>
          </cell>
          <cell r="G290">
            <v>0</v>
          </cell>
          <cell r="H290">
            <v>0</v>
          </cell>
          <cell r="I290">
            <v>0</v>
          </cell>
        </row>
        <row r="291">
          <cell r="E291">
            <v>0</v>
          </cell>
          <cell r="F291">
            <v>-3.532</v>
          </cell>
          <cell r="G291">
            <v>0</v>
          </cell>
          <cell r="H291">
            <v>0</v>
          </cell>
          <cell r="I291">
            <v>5.216510999999997</v>
          </cell>
        </row>
        <row r="293">
          <cell r="D293">
            <v>6.6130320000000005</v>
          </cell>
        </row>
        <row r="301">
          <cell r="D301">
            <v>5.7229260000000004E-2</v>
          </cell>
          <cell r="E301">
            <v>5.0932180000000001E-2</v>
          </cell>
          <cell r="F301">
            <v>3.5628550000000002E-2</v>
          </cell>
          <cell r="G301">
            <v>3.464851E-2</v>
          </cell>
          <cell r="H301">
            <v>8.5922149999999989E-2</v>
          </cell>
          <cell r="I301">
            <v>3.9065289999999996E-2</v>
          </cell>
        </row>
        <row r="302">
          <cell r="D302">
            <v>2.4433051600000004</v>
          </cell>
          <cell r="E302">
            <v>2.19820927</v>
          </cell>
          <cell r="F302">
            <v>2.4337317000000001</v>
          </cell>
          <cell r="G302">
            <v>2.3042454299999999</v>
          </cell>
          <cell r="H302">
            <v>2.36620579</v>
          </cell>
          <cell r="I302">
            <v>2.1855427400000003</v>
          </cell>
        </row>
        <row r="303">
          <cell r="D303">
            <v>1.37203E-3</v>
          </cell>
          <cell r="E303">
            <v>1.53268E-3</v>
          </cell>
          <cell r="F303">
            <v>1.4462100000000001E-3</v>
          </cell>
          <cell r="G303">
            <v>6.6048800000000005E-3</v>
          </cell>
          <cell r="H303">
            <v>1.8685000000000002E-3</v>
          </cell>
          <cell r="I303">
            <v>1.45772E-3</v>
          </cell>
        </row>
        <row r="304">
          <cell r="D304">
            <v>0.04</v>
          </cell>
          <cell r="E304">
            <v>0.04</v>
          </cell>
          <cell r="F304">
            <v>0.04</v>
          </cell>
          <cell r="G304">
            <v>0.04</v>
          </cell>
          <cell r="H304">
            <v>0.04</v>
          </cell>
          <cell r="I304">
            <v>0.04</v>
          </cell>
        </row>
        <row r="305">
          <cell r="D305">
            <v>1.9113914400000003</v>
          </cell>
          <cell r="E305">
            <v>1.7260774000000001</v>
          </cell>
          <cell r="F305">
            <v>1.9614394999999996</v>
          </cell>
          <cell r="G305">
            <v>1.9349308700000003</v>
          </cell>
          <cell r="H305">
            <v>1.8802489599999999</v>
          </cell>
          <cell r="I305">
            <v>3.9797834900000004</v>
          </cell>
        </row>
        <row r="306">
          <cell r="D306">
            <v>0.53979997999999996</v>
          </cell>
          <cell r="E306">
            <v>0.48565088999999989</v>
          </cell>
          <cell r="F306">
            <v>0.42448809000000004</v>
          </cell>
          <cell r="G306">
            <v>0.37510971999999998</v>
          </cell>
          <cell r="H306">
            <v>0.48744193999999996</v>
          </cell>
          <cell r="I306">
            <v>0.50826576000000001</v>
          </cell>
        </row>
        <row r="307">
          <cell r="D307">
            <v>2.3909999999999999E-3</v>
          </cell>
          <cell r="E307">
            <v>-1.2359999999999999E-3</v>
          </cell>
          <cell r="F307">
            <v>1.2596E-2</v>
          </cell>
          <cell r="G307">
            <v>-5.3249999999999999E-3</v>
          </cell>
          <cell r="H307">
            <v>1.2771000000000001E-2</v>
          </cell>
          <cell r="I307">
            <v>-0.69147000000000003</v>
          </cell>
        </row>
        <row r="308">
          <cell r="D308">
            <v>0.10481</v>
          </cell>
        </row>
        <row r="311">
          <cell r="F311">
            <v>0.21</v>
          </cell>
          <cell r="G311">
            <v>0</v>
          </cell>
          <cell r="H311">
            <v>0</v>
          </cell>
          <cell r="I311">
            <v>0.19050900000000001</v>
          </cell>
        </row>
        <row r="312">
          <cell r="F312">
            <v>-0.123</v>
          </cell>
          <cell r="G312">
            <v>0</v>
          </cell>
          <cell r="H312">
            <v>0</v>
          </cell>
          <cell r="I312">
            <v>-0.11699999999999999</v>
          </cell>
        </row>
        <row r="313">
          <cell r="F313">
            <v>0.14399999999999999</v>
          </cell>
          <cell r="G313">
            <v>0</v>
          </cell>
          <cell r="H313">
            <v>0</v>
          </cell>
          <cell r="I313">
            <v>0.15942599999999998</v>
          </cell>
        </row>
        <row r="314">
          <cell r="F314">
            <v>7.0750000000000002</v>
          </cell>
          <cell r="G314">
            <v>0</v>
          </cell>
          <cell r="H314">
            <v>0</v>
          </cell>
          <cell r="I314">
            <v>6.8562399999999988</v>
          </cell>
        </row>
        <row r="315">
          <cell r="F315">
            <v>-2.8959999999999999</v>
          </cell>
          <cell r="G315">
            <v>0</v>
          </cell>
          <cell r="H315">
            <v>0</v>
          </cell>
          <cell r="I315">
            <v>-10.132197999999999</v>
          </cell>
        </row>
        <row r="316">
          <cell r="F316">
            <v>-1.4470000000000001</v>
          </cell>
          <cell r="G316">
            <v>0</v>
          </cell>
          <cell r="H316">
            <v>0</v>
          </cell>
          <cell r="I316">
            <v>-1.3737559999999998</v>
          </cell>
        </row>
        <row r="317">
          <cell r="F317">
            <v>2.8000000000000001E-2</v>
          </cell>
          <cell r="G317">
            <v>0</v>
          </cell>
          <cell r="H317">
            <v>0</v>
          </cell>
          <cell r="I317">
            <v>2.1011999999999999E-2</v>
          </cell>
        </row>
        <row r="318">
          <cell r="F318">
            <v>-1.2E-2</v>
          </cell>
          <cell r="G318">
            <v>0</v>
          </cell>
          <cell r="H318">
            <v>0</v>
          </cell>
          <cell r="I318">
            <v>0.21314500000000003</v>
          </cell>
        </row>
        <row r="319">
          <cell r="F319">
            <v>20</v>
          </cell>
          <cell r="G319">
            <v>0</v>
          </cell>
          <cell r="H319">
            <v>0</v>
          </cell>
          <cell r="I319">
            <v>-25</v>
          </cell>
        </row>
        <row r="321">
          <cell r="F321">
            <v>-20</v>
          </cell>
          <cell r="G321">
            <v>0</v>
          </cell>
          <cell r="H321">
            <v>0</v>
          </cell>
          <cell r="I321">
            <v>25</v>
          </cell>
        </row>
        <row r="384">
          <cell r="G384">
            <v>0</v>
          </cell>
          <cell r="H384">
            <v>0</v>
          </cell>
          <cell r="I384">
            <v>0</v>
          </cell>
        </row>
        <row r="428">
          <cell r="G428">
            <v>0</v>
          </cell>
          <cell r="H428">
            <v>0</v>
          </cell>
          <cell r="I42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UE Custom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15B"/>
      </a:accent1>
      <a:accent2>
        <a:srgbClr val="E91164"/>
      </a:accent2>
      <a:accent3>
        <a:srgbClr val="393089"/>
      </a:accent3>
      <a:accent4>
        <a:srgbClr val="F49357"/>
      </a:accent4>
      <a:accent5>
        <a:srgbClr val="C7EAFB"/>
      </a:accent5>
      <a:accent6>
        <a:srgbClr val="F488B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Powercor">
    <a:dk1>
      <a:sysClr val="windowText" lastClr="000000"/>
    </a:dk1>
    <a:lt1>
      <a:sysClr val="window" lastClr="FFFFFF"/>
    </a:lt1>
    <a:dk2>
      <a:srgbClr val="696464"/>
    </a:dk2>
    <a:lt2>
      <a:srgbClr val="E9E5DC"/>
    </a:lt2>
    <a:accent1>
      <a:srgbClr val="E50000"/>
    </a:accent1>
    <a:accent2>
      <a:srgbClr val="FF9999"/>
    </a:accent2>
    <a:accent3>
      <a:srgbClr val="918485"/>
    </a:accent3>
    <a:accent4>
      <a:srgbClr val="C00000"/>
    </a:accent4>
    <a:accent5>
      <a:srgbClr val="E99C92"/>
    </a:accent5>
    <a:accent6>
      <a:srgbClr val="E7DDDD"/>
    </a:accent6>
    <a:hlink>
      <a:srgbClr val="CC9900"/>
    </a:hlink>
    <a:folHlink>
      <a:srgbClr val="96A9A9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Powercor">
    <a:dk1>
      <a:sysClr val="windowText" lastClr="000000"/>
    </a:dk1>
    <a:lt1>
      <a:sysClr val="window" lastClr="FFFFFF"/>
    </a:lt1>
    <a:dk2>
      <a:srgbClr val="696464"/>
    </a:dk2>
    <a:lt2>
      <a:srgbClr val="E9E5DC"/>
    </a:lt2>
    <a:accent1>
      <a:srgbClr val="E50000"/>
    </a:accent1>
    <a:accent2>
      <a:srgbClr val="FF9999"/>
    </a:accent2>
    <a:accent3>
      <a:srgbClr val="918485"/>
    </a:accent3>
    <a:accent4>
      <a:srgbClr val="C00000"/>
    </a:accent4>
    <a:accent5>
      <a:srgbClr val="E99C92"/>
    </a:accent5>
    <a:accent6>
      <a:srgbClr val="E7DDDD"/>
    </a:accent6>
    <a:hlink>
      <a:srgbClr val="CC9900"/>
    </a:hlink>
    <a:folHlink>
      <a:srgbClr val="96A9A9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Powercor">
    <a:dk1>
      <a:sysClr val="windowText" lastClr="000000"/>
    </a:dk1>
    <a:lt1>
      <a:sysClr val="window" lastClr="FFFFFF"/>
    </a:lt1>
    <a:dk2>
      <a:srgbClr val="696464"/>
    </a:dk2>
    <a:lt2>
      <a:srgbClr val="E9E5DC"/>
    </a:lt2>
    <a:accent1>
      <a:srgbClr val="E50000"/>
    </a:accent1>
    <a:accent2>
      <a:srgbClr val="FF9999"/>
    </a:accent2>
    <a:accent3>
      <a:srgbClr val="918485"/>
    </a:accent3>
    <a:accent4>
      <a:srgbClr val="C00000"/>
    </a:accent4>
    <a:accent5>
      <a:srgbClr val="E99C92"/>
    </a:accent5>
    <a:accent6>
      <a:srgbClr val="E7DDDD"/>
    </a:accent6>
    <a:hlink>
      <a:srgbClr val="CC9900"/>
    </a:hlink>
    <a:folHlink>
      <a:srgbClr val="96A9A9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4"/>
  <sheetViews>
    <sheetView showGridLines="0" tabSelected="1" zoomScale="60" zoomScaleNormal="60" workbookViewId="0">
      <selection activeCell="B30" sqref="B30"/>
    </sheetView>
  </sheetViews>
  <sheetFormatPr defaultColWidth="0" defaultRowHeight="15" zeroHeight="1" x14ac:dyDescent="0.25"/>
  <cols>
    <col min="1" max="1" width="34.7109375" customWidth="1"/>
    <col min="2" max="3" width="13.7109375" customWidth="1"/>
    <col min="4" max="4" width="14.140625" customWidth="1"/>
    <col min="5" max="5" width="14.42578125" customWidth="1"/>
    <col min="6" max="6" width="13.42578125" customWidth="1"/>
    <col min="7" max="7" width="22.85546875" bestFit="1" customWidth="1"/>
    <col min="8" max="10" width="3.42578125" customWidth="1"/>
    <col min="11" max="11" width="25.5703125" style="53" bestFit="1" customWidth="1"/>
    <col min="12" max="12" width="18.85546875" customWidth="1"/>
    <col min="13" max="13" width="16.85546875" customWidth="1"/>
    <col min="14" max="14" width="17" customWidth="1"/>
    <col min="15" max="15" width="16.85546875" customWidth="1"/>
    <col min="16" max="16" width="15.85546875" customWidth="1"/>
    <col min="17" max="17" width="17.85546875" customWidth="1"/>
    <col min="18" max="18" width="16.5703125" customWidth="1"/>
    <col min="19" max="19" width="14" customWidth="1"/>
    <col min="20" max="22" width="3.28515625" customWidth="1"/>
    <col min="23" max="23" width="10.140625" customWidth="1"/>
    <col min="24" max="24" width="9.140625" customWidth="1"/>
    <col min="25" max="25" width="26.5703125" customWidth="1"/>
    <col min="26" max="26" width="14.42578125" customWidth="1"/>
    <col min="27" max="27" width="14.5703125" customWidth="1"/>
    <col min="28" max="28" width="14.85546875" customWidth="1"/>
    <col min="29" max="29" width="9.5703125" customWidth="1"/>
    <col min="30" max="32" width="9.140625" customWidth="1"/>
    <col min="35" max="16384" width="9.140625" hidden="1"/>
  </cols>
  <sheetData>
    <row r="1" spans="1:34" ht="35.25" customHeight="1" x14ac:dyDescent="0.25">
      <c r="A1" s="55" t="s">
        <v>49</v>
      </c>
      <c r="B1" s="22"/>
      <c r="C1" s="21"/>
      <c r="D1" s="22"/>
      <c r="E1" s="22"/>
      <c r="F1" s="21"/>
      <c r="G1" s="22"/>
      <c r="H1" s="22"/>
      <c r="I1" s="22"/>
      <c r="J1" s="22"/>
      <c r="K1" s="49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1"/>
      <c r="Y1" s="23"/>
      <c r="Z1" s="23"/>
      <c r="AA1" s="23"/>
      <c r="AB1" s="23"/>
      <c r="AC1" s="23"/>
      <c r="AD1" s="23"/>
      <c r="AE1" s="23"/>
      <c r="AF1" s="44"/>
      <c r="AG1" s="44"/>
      <c r="AH1" s="44"/>
    </row>
    <row r="2" spans="1:34" ht="17.25" customHeight="1" x14ac:dyDescent="0.25">
      <c r="A2" s="42" t="s">
        <v>0</v>
      </c>
      <c r="B2" s="43"/>
      <c r="C2" s="43"/>
      <c r="D2" s="43"/>
      <c r="E2" s="43"/>
      <c r="F2" s="43"/>
      <c r="G2" s="43"/>
      <c r="H2" s="44"/>
      <c r="I2" s="44"/>
      <c r="J2" s="44"/>
      <c r="K2" s="50"/>
      <c r="L2" s="42" t="s">
        <v>96</v>
      </c>
      <c r="M2" s="43"/>
      <c r="N2" s="43"/>
      <c r="O2" s="43"/>
      <c r="P2" s="43"/>
      <c r="Q2" s="43"/>
      <c r="R2" s="43"/>
      <c r="S2" s="43"/>
      <c r="T2" s="44"/>
      <c r="U2" s="44"/>
      <c r="V2" s="44"/>
      <c r="W2" s="44"/>
      <c r="X2" s="42" t="s">
        <v>87</v>
      </c>
      <c r="Y2" s="43"/>
      <c r="Z2" s="42" t="s">
        <v>88</v>
      </c>
      <c r="AA2" s="43"/>
      <c r="AB2" s="43"/>
      <c r="AC2" s="43"/>
      <c r="AD2" s="43"/>
      <c r="AE2" s="43"/>
      <c r="AF2" s="44"/>
      <c r="AG2" s="44"/>
      <c r="AH2" s="44"/>
    </row>
    <row r="3" spans="1:34" ht="15" customHeight="1" x14ac:dyDescent="0.25">
      <c r="A3" s="44" t="s">
        <v>53</v>
      </c>
      <c r="B3" s="26">
        <f>NUM_ABC+NUM_NEUTRAL_SCREEN+NUM_OTHER_OVERHEAD+NUM_PVC_TWIST</f>
        <v>364628</v>
      </c>
      <c r="C3" s="44" t="s">
        <v>108</v>
      </c>
      <c r="D3" s="44"/>
      <c r="E3" s="44"/>
      <c r="F3" s="44"/>
      <c r="G3" s="44"/>
      <c r="H3" s="44"/>
      <c r="I3" s="44"/>
      <c r="J3" s="44"/>
      <c r="K3" s="50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>
        <v>28</v>
      </c>
      <c r="AA3" s="44">
        <v>25</v>
      </c>
      <c r="AB3" s="44">
        <v>27</v>
      </c>
      <c r="AC3" s="44">
        <v>18</v>
      </c>
      <c r="AD3" s="44"/>
      <c r="AE3" s="44"/>
      <c r="AF3" s="44"/>
      <c r="AG3" s="44"/>
      <c r="AH3" s="44"/>
    </row>
    <row r="4" spans="1:34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50" t="s">
        <v>1</v>
      </c>
      <c r="L4" s="44" t="s">
        <v>2</v>
      </c>
      <c r="M4" s="44" t="s">
        <v>3</v>
      </c>
      <c r="N4" s="44" t="s">
        <v>4</v>
      </c>
      <c r="O4" s="44" t="s">
        <v>5</v>
      </c>
      <c r="P4" s="44" t="s">
        <v>6</v>
      </c>
      <c r="Q4" s="44" t="s">
        <v>7</v>
      </c>
      <c r="R4" s="44" t="s">
        <v>8</v>
      </c>
      <c r="S4" s="44" t="s">
        <v>9</v>
      </c>
      <c r="T4" s="44">
        <v>1</v>
      </c>
      <c r="U4" s="44"/>
      <c r="V4" s="44"/>
      <c r="W4" s="44"/>
      <c r="X4" s="3"/>
      <c r="Y4" s="3"/>
      <c r="Z4" s="3" t="s">
        <v>91</v>
      </c>
      <c r="AA4" s="3" t="s">
        <v>90</v>
      </c>
      <c r="AB4" s="3" t="s">
        <v>10</v>
      </c>
      <c r="AC4" s="3" t="s">
        <v>11</v>
      </c>
      <c r="AD4" s="3" t="s">
        <v>40</v>
      </c>
      <c r="AE4" s="3"/>
      <c r="AF4" s="44"/>
      <c r="AG4" s="44"/>
      <c r="AH4" s="44"/>
    </row>
    <row r="5" spans="1:34" x14ac:dyDescent="0.25">
      <c r="A5" s="44" t="s">
        <v>12</v>
      </c>
      <c r="B5" s="25">
        <f>COST_REPL_SERVICE</f>
        <v>642</v>
      </c>
      <c r="C5" s="44"/>
      <c r="D5" s="44"/>
      <c r="E5" s="44"/>
      <c r="F5" s="44"/>
      <c r="G5" s="44"/>
      <c r="H5" s="45"/>
      <c r="I5" s="44"/>
      <c r="J5" s="44"/>
      <c r="K5" s="51" t="s">
        <v>13</v>
      </c>
      <c r="L5" s="34" t="s">
        <v>97</v>
      </c>
      <c r="M5" s="34" t="s">
        <v>141</v>
      </c>
      <c r="N5" s="34" t="s">
        <v>142</v>
      </c>
      <c r="O5" s="34" t="s">
        <v>109</v>
      </c>
      <c r="P5" s="34"/>
      <c r="Q5" s="34"/>
      <c r="R5" s="34"/>
      <c r="S5" s="34"/>
      <c r="T5" s="44">
        <v>2</v>
      </c>
      <c r="U5" s="44"/>
      <c r="V5" s="44"/>
      <c r="W5" s="44"/>
      <c r="X5" s="3" t="s">
        <v>2</v>
      </c>
      <c r="Y5" s="3" t="str">
        <f>HLOOKUP(X5,$L$4:$S$6,2,FALSE)</f>
        <v>Do No maintenance</v>
      </c>
      <c r="Z5" s="31">
        <f>HLOOKUP($X5,$L$4:$S$35,Z$3,FALSE)</f>
        <v>6.1730769230769234</v>
      </c>
      <c r="AA5" s="31">
        <f>HLOOKUP($X5,$L$4:$S$35,AA$3,FALSE)</f>
        <v>0</v>
      </c>
      <c r="AB5" s="31">
        <f>HLOOKUP($X5,$L$4:$S$35,AB$3,FALSE)</f>
        <v>78.556337143609383</v>
      </c>
      <c r="AC5" s="24">
        <f>HLOOKUP($X5,$L$4:$S$35,AC$3,FALSE)</f>
        <v>2927</v>
      </c>
      <c r="AD5" s="33">
        <f t="shared" ref="AD5:AD11" si="0">Z5+AA5+AB5</f>
        <v>84.729414066686303</v>
      </c>
      <c r="AE5" s="3"/>
      <c r="AF5" s="44"/>
      <c r="AG5" s="44"/>
      <c r="AH5" s="44"/>
    </row>
    <row r="6" spans="1:34" x14ac:dyDescent="0.25">
      <c r="A6" s="44" t="s">
        <v>52</v>
      </c>
      <c r="B6" s="26">
        <f>B3</f>
        <v>364628</v>
      </c>
      <c r="C6" s="44"/>
      <c r="D6" s="44"/>
      <c r="E6" s="44"/>
      <c r="F6" s="44"/>
      <c r="G6" s="44"/>
      <c r="H6" s="44"/>
      <c r="I6" s="44"/>
      <c r="J6" s="44"/>
      <c r="K6" s="51"/>
      <c r="L6" s="34"/>
      <c r="M6" s="34"/>
      <c r="N6" s="34"/>
      <c r="O6" s="34"/>
      <c r="P6" s="34"/>
      <c r="Q6" s="34"/>
      <c r="R6" s="34"/>
      <c r="S6" s="34"/>
      <c r="T6" s="44">
        <v>3</v>
      </c>
      <c r="U6" s="44"/>
      <c r="V6" s="44"/>
      <c r="W6" s="44"/>
      <c r="X6" s="3" t="s">
        <v>3</v>
      </c>
      <c r="Y6" s="3" t="str">
        <f t="shared" ref="Y6:Y12" si="1">HLOOKUP(X6,$L$4:$S$6,2,FALSE)</f>
        <v>Condition Monitoring</v>
      </c>
      <c r="Z6" s="31">
        <f t="shared" ref="Z6:AC12" si="2">HLOOKUP($X6,$L$4:$S$35,Z$3,FALSE)</f>
        <v>6.1730769230769234</v>
      </c>
      <c r="AA6" s="31">
        <f t="shared" si="2"/>
        <v>2.7425211448380269</v>
      </c>
      <c r="AB6" s="31">
        <f t="shared" si="2"/>
        <v>15.711267428721877</v>
      </c>
      <c r="AC6" s="24">
        <f t="shared" si="2"/>
        <v>585.4</v>
      </c>
      <c r="AD6" s="33">
        <f t="shared" si="0"/>
        <v>24.626865496636825</v>
      </c>
      <c r="AE6" s="3"/>
      <c r="AF6" s="44"/>
      <c r="AG6" s="44"/>
      <c r="AH6" s="44"/>
    </row>
    <row r="7" spans="1:34" x14ac:dyDescent="0.25">
      <c r="A7" s="44" t="s">
        <v>14</v>
      </c>
      <c r="B7" s="27">
        <f>SUM(B18:F18)</f>
        <v>585.4</v>
      </c>
      <c r="C7" s="44" t="s">
        <v>15</v>
      </c>
      <c r="D7" s="44"/>
      <c r="E7" s="44"/>
      <c r="F7" s="44"/>
      <c r="G7" s="44"/>
      <c r="H7" s="44"/>
      <c r="I7" s="44"/>
      <c r="J7" s="44"/>
      <c r="K7" s="50" t="s">
        <v>16</v>
      </c>
      <c r="L7" s="35">
        <f>B5</f>
        <v>642</v>
      </c>
      <c r="M7" s="35">
        <f>L7</f>
        <v>642</v>
      </c>
      <c r="N7" s="35">
        <f>M7</f>
        <v>642</v>
      </c>
      <c r="O7" s="35">
        <f>L7</f>
        <v>642</v>
      </c>
      <c r="P7" s="35"/>
      <c r="Q7" s="35"/>
      <c r="R7" s="35"/>
      <c r="S7" s="35"/>
      <c r="T7" s="44">
        <v>4</v>
      </c>
      <c r="U7" s="44"/>
      <c r="V7" s="44"/>
      <c r="W7" s="44"/>
      <c r="X7" s="3" t="s">
        <v>4</v>
      </c>
      <c r="Y7" s="3" t="str">
        <f t="shared" si="1"/>
        <v>Inspect and Maintain</v>
      </c>
      <c r="Z7" s="31">
        <f t="shared" si="2"/>
        <v>12.346153846153847</v>
      </c>
      <c r="AA7" s="31">
        <f t="shared" si="2"/>
        <v>0</v>
      </c>
      <c r="AB7" s="31">
        <f t="shared" si="2"/>
        <v>78.407999605076967</v>
      </c>
      <c r="AC7" s="24">
        <f t="shared" si="2"/>
        <v>585.4</v>
      </c>
      <c r="AD7" s="33">
        <f t="shared" si="0"/>
        <v>90.75415345123082</v>
      </c>
      <c r="AE7" s="3"/>
      <c r="AF7" s="44"/>
      <c r="AG7" s="44"/>
      <c r="AH7" s="44"/>
    </row>
    <row r="8" spans="1:34" x14ac:dyDescent="0.25">
      <c r="A8" s="44" t="s">
        <v>17</v>
      </c>
      <c r="B8" s="27">
        <f>B7/B3*1000</f>
        <v>1.6054718781881809</v>
      </c>
      <c r="C8" s="44" t="s">
        <v>107</v>
      </c>
      <c r="D8" s="44"/>
      <c r="E8" s="44"/>
      <c r="F8" s="44"/>
      <c r="G8" s="44"/>
      <c r="H8" s="44"/>
      <c r="I8" s="44"/>
      <c r="J8" s="44"/>
      <c r="K8" s="50" t="s">
        <v>57</v>
      </c>
      <c r="L8" s="27"/>
      <c r="M8" s="27"/>
      <c r="N8" s="27"/>
      <c r="O8" s="27"/>
      <c r="P8" s="27"/>
      <c r="Q8" s="27"/>
      <c r="R8" s="27"/>
      <c r="S8" s="27"/>
      <c r="T8" s="44">
        <v>5</v>
      </c>
      <c r="U8" s="44"/>
      <c r="V8" s="44"/>
      <c r="W8" s="44"/>
      <c r="X8" s="3" t="s">
        <v>5</v>
      </c>
      <c r="Y8" s="3" t="str">
        <f t="shared" si="1"/>
        <v>Proactive Replacement</v>
      </c>
      <c r="Z8" s="31">
        <f t="shared" si="2"/>
        <v>17.589041095890412</v>
      </c>
      <c r="AA8" s="31">
        <f t="shared" si="2"/>
        <v>0</v>
      </c>
      <c r="AB8" s="31">
        <f t="shared" si="2"/>
        <v>7.8458924438057398</v>
      </c>
      <c r="AC8" s="24">
        <f t="shared" si="2"/>
        <v>528.9</v>
      </c>
      <c r="AD8" s="33">
        <f t="shared" si="0"/>
        <v>25.434933539696154</v>
      </c>
      <c r="AE8" s="3"/>
      <c r="AF8" s="44"/>
      <c r="AG8" s="44"/>
      <c r="AH8" s="44"/>
    </row>
    <row r="9" spans="1:34" x14ac:dyDescent="0.25">
      <c r="A9" s="44" t="s">
        <v>18</v>
      </c>
      <c r="B9" s="26" t="s">
        <v>3</v>
      </c>
      <c r="C9" s="44"/>
      <c r="D9" s="44"/>
      <c r="E9" s="45"/>
      <c r="F9" s="44"/>
      <c r="G9" s="44"/>
      <c r="H9" s="44"/>
      <c r="I9" s="44"/>
      <c r="J9" s="44"/>
      <c r="K9" s="50"/>
      <c r="L9" s="44"/>
      <c r="M9" s="44"/>
      <c r="N9" s="44"/>
      <c r="O9" s="44"/>
      <c r="P9" s="44"/>
      <c r="Q9" s="44"/>
      <c r="R9" s="44"/>
      <c r="S9" s="44"/>
      <c r="T9" s="44">
        <v>6</v>
      </c>
      <c r="U9" s="44"/>
      <c r="V9" s="44"/>
      <c r="W9" s="44"/>
      <c r="X9" s="3" t="s">
        <v>6</v>
      </c>
      <c r="Y9" s="3">
        <f t="shared" si="1"/>
        <v>0</v>
      </c>
      <c r="Z9" s="31">
        <f t="shared" si="2"/>
        <v>0</v>
      </c>
      <c r="AA9" s="31">
        <f t="shared" si="2"/>
        <v>0</v>
      </c>
      <c r="AB9" s="31">
        <f t="shared" si="2"/>
        <v>0</v>
      </c>
      <c r="AC9" s="24">
        <f t="shared" si="2"/>
        <v>0</v>
      </c>
      <c r="AD9" s="33">
        <f t="shared" si="0"/>
        <v>0</v>
      </c>
      <c r="AE9" s="3"/>
      <c r="AF9" s="44"/>
      <c r="AG9" s="44"/>
      <c r="AH9" s="44"/>
    </row>
    <row r="10" spans="1:34" ht="15" customHeight="1" x14ac:dyDescent="0.25">
      <c r="A10" s="44" t="s">
        <v>19</v>
      </c>
      <c r="B10" s="28">
        <f>B3/B11</f>
        <v>104.17942857142857</v>
      </c>
      <c r="C10" s="44" t="s">
        <v>20</v>
      </c>
      <c r="D10" s="44"/>
      <c r="E10" s="44"/>
      <c r="F10" s="44"/>
      <c r="G10" s="46"/>
      <c r="H10" s="44"/>
      <c r="I10" s="44"/>
      <c r="J10" s="44"/>
      <c r="K10" s="50" t="s">
        <v>110</v>
      </c>
      <c r="L10" s="27"/>
      <c r="M10" s="27">
        <f>1000000/B3</f>
        <v>2.7425211448380269</v>
      </c>
      <c r="N10" s="27"/>
      <c r="O10" s="27"/>
      <c r="P10" s="27"/>
      <c r="Q10" s="27"/>
      <c r="R10" s="27"/>
      <c r="S10" s="27"/>
      <c r="T10" s="44">
        <v>7</v>
      </c>
      <c r="U10" s="44"/>
      <c r="V10" s="44"/>
      <c r="W10" s="44"/>
      <c r="X10" s="3" t="s">
        <v>7</v>
      </c>
      <c r="Y10" s="3">
        <f t="shared" si="1"/>
        <v>0</v>
      </c>
      <c r="Z10" s="31">
        <f>HLOOKUP($X10,$L$4:$S$35,Z$3,FALSE)</f>
        <v>0</v>
      </c>
      <c r="AA10" s="31">
        <f t="shared" si="2"/>
        <v>0</v>
      </c>
      <c r="AB10" s="31">
        <f t="shared" si="2"/>
        <v>0</v>
      </c>
      <c r="AC10" s="24">
        <f t="shared" si="2"/>
        <v>0</v>
      </c>
      <c r="AD10" s="33">
        <f t="shared" si="0"/>
        <v>0</v>
      </c>
      <c r="AE10" s="3"/>
      <c r="AF10" s="44"/>
      <c r="AG10" s="44"/>
      <c r="AH10" s="44"/>
    </row>
    <row r="11" spans="1:34" x14ac:dyDescent="0.25">
      <c r="A11" s="44" t="s">
        <v>50</v>
      </c>
      <c r="B11" s="26">
        <f>NUM_REPL_ANNUAL</f>
        <v>3500</v>
      </c>
      <c r="C11" s="44" t="s">
        <v>95</v>
      </c>
      <c r="D11" s="44"/>
      <c r="E11" s="44"/>
      <c r="F11" s="44"/>
      <c r="G11" s="44"/>
      <c r="H11" s="44"/>
      <c r="I11" s="44"/>
      <c r="J11" s="44"/>
      <c r="K11" s="50" t="s">
        <v>98</v>
      </c>
      <c r="L11" s="27"/>
      <c r="M11" s="27"/>
      <c r="N11" s="27"/>
      <c r="O11" s="27"/>
      <c r="P11" s="27"/>
      <c r="Q11" s="27"/>
      <c r="R11" s="27"/>
      <c r="S11" s="27"/>
      <c r="T11" s="44">
        <v>8</v>
      </c>
      <c r="U11" s="44"/>
      <c r="V11" s="44"/>
      <c r="W11" s="44"/>
      <c r="X11" s="3" t="s">
        <v>8</v>
      </c>
      <c r="Y11" s="3">
        <f t="shared" si="1"/>
        <v>0</v>
      </c>
      <c r="Z11" s="31">
        <f t="shared" si="2"/>
        <v>0</v>
      </c>
      <c r="AA11" s="31">
        <f t="shared" si="2"/>
        <v>0</v>
      </c>
      <c r="AB11" s="31">
        <f t="shared" si="2"/>
        <v>14.194891259055348</v>
      </c>
      <c r="AC11" s="24">
        <f t="shared" si="2"/>
        <v>528.9</v>
      </c>
      <c r="AD11" s="33">
        <f t="shared" si="0"/>
        <v>14.194891259055348</v>
      </c>
      <c r="AE11" s="3"/>
      <c r="AF11" s="44"/>
      <c r="AG11" s="44"/>
      <c r="AH11" s="44"/>
    </row>
    <row r="12" spans="1:34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50" t="s">
        <v>21</v>
      </c>
      <c r="L12" s="27"/>
      <c r="M12" s="27"/>
      <c r="N12" s="27"/>
      <c r="O12" s="27"/>
      <c r="P12" s="27"/>
      <c r="Q12" s="27"/>
      <c r="R12" s="27"/>
      <c r="S12" s="27"/>
      <c r="T12" s="44">
        <v>9</v>
      </c>
      <c r="U12" s="44"/>
      <c r="V12" s="44"/>
      <c r="W12" s="44"/>
      <c r="X12" s="3" t="s">
        <v>9</v>
      </c>
      <c r="Y12" s="3">
        <f t="shared" si="1"/>
        <v>0</v>
      </c>
      <c r="Z12" s="31">
        <f t="shared" si="2"/>
        <v>0</v>
      </c>
      <c r="AA12" s="31">
        <f t="shared" si="2"/>
        <v>0</v>
      </c>
      <c r="AB12" s="31">
        <f t="shared" si="2"/>
        <v>0</v>
      </c>
      <c r="AC12" s="3">
        <f t="shared" si="2"/>
        <v>0</v>
      </c>
      <c r="AD12" s="3"/>
      <c r="AE12" s="3"/>
      <c r="AF12" s="44"/>
      <c r="AG12" s="44"/>
      <c r="AH12" s="44"/>
    </row>
    <row r="13" spans="1:34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50" t="s">
        <v>22</v>
      </c>
      <c r="L13" s="27"/>
      <c r="M13" s="27"/>
      <c r="N13" s="27"/>
      <c r="O13" s="27"/>
      <c r="P13" s="27"/>
      <c r="Q13" s="27"/>
      <c r="R13" s="27"/>
      <c r="S13" s="27"/>
      <c r="T13" s="44">
        <v>10</v>
      </c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</row>
    <row r="14" spans="1:34" x14ac:dyDescent="0.25">
      <c r="A14" s="44"/>
      <c r="B14" s="44"/>
      <c r="C14" s="44"/>
      <c r="D14" s="47"/>
      <c r="E14" s="44"/>
      <c r="F14" s="44"/>
      <c r="G14" s="44"/>
      <c r="H14" s="44"/>
      <c r="I14" s="44"/>
      <c r="J14" s="44"/>
      <c r="K14" s="50" t="s">
        <v>23</v>
      </c>
      <c r="L14" s="27"/>
      <c r="M14" s="27"/>
      <c r="N14" s="27"/>
      <c r="O14" s="27"/>
      <c r="P14" s="27"/>
      <c r="Q14" s="27"/>
      <c r="R14" s="27"/>
      <c r="S14" s="27"/>
      <c r="T14" s="44">
        <v>11</v>
      </c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</row>
    <row r="15" spans="1:34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50" t="s">
        <v>24</v>
      </c>
      <c r="L15" s="27"/>
      <c r="M15" s="27">
        <v>1</v>
      </c>
      <c r="N15" s="27"/>
      <c r="O15" s="27"/>
      <c r="P15" s="27"/>
      <c r="Q15" s="27"/>
      <c r="R15" s="27">
        <v>1</v>
      </c>
      <c r="S15" s="27"/>
      <c r="T15" s="44">
        <v>12</v>
      </c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spans="1:34" x14ac:dyDescent="0.25">
      <c r="A16" s="41" t="s">
        <v>25</v>
      </c>
      <c r="B16" s="41" t="s">
        <v>26</v>
      </c>
      <c r="C16" s="41" t="s">
        <v>27</v>
      </c>
      <c r="D16" s="41" t="s">
        <v>28</v>
      </c>
      <c r="E16" s="41" t="s">
        <v>29</v>
      </c>
      <c r="F16" s="41" t="s">
        <v>30</v>
      </c>
      <c r="G16" s="41" t="s">
        <v>31</v>
      </c>
      <c r="H16" s="44"/>
      <c r="I16" s="44"/>
      <c r="J16" s="44"/>
      <c r="K16" s="50" t="s">
        <v>32</v>
      </c>
      <c r="L16" s="27"/>
      <c r="M16" s="27"/>
      <c r="N16" s="27"/>
      <c r="O16" s="27"/>
      <c r="P16" s="27"/>
      <c r="Q16" s="27"/>
      <c r="R16" s="27">
        <v>1</v>
      </c>
      <c r="S16" s="27"/>
      <c r="T16" s="44">
        <v>13</v>
      </c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</row>
    <row r="17" spans="1:34" x14ac:dyDescent="0.25">
      <c r="A17" s="44" t="s">
        <v>13</v>
      </c>
      <c r="B17" s="27" t="s">
        <v>128</v>
      </c>
      <c r="C17" s="27" t="s">
        <v>94</v>
      </c>
      <c r="D17" s="27" t="s">
        <v>55</v>
      </c>
      <c r="E17" s="27"/>
      <c r="F17" s="27"/>
      <c r="G17" s="3"/>
      <c r="H17" s="44"/>
      <c r="I17" s="44"/>
      <c r="J17" s="44"/>
      <c r="K17" s="50" t="s">
        <v>33</v>
      </c>
      <c r="L17" s="27"/>
      <c r="M17" s="27"/>
      <c r="N17" s="27"/>
      <c r="O17" s="27"/>
      <c r="P17" s="27"/>
      <c r="Q17" s="27"/>
      <c r="R17" s="27"/>
      <c r="S17" s="27"/>
      <c r="T17" s="44">
        <v>14</v>
      </c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</row>
    <row r="18" spans="1:34" x14ac:dyDescent="0.25">
      <c r="A18" s="44" t="s">
        <v>56</v>
      </c>
      <c r="B18" s="27">
        <f>FAULTS_ANNUAL_MECH</f>
        <v>113</v>
      </c>
      <c r="C18" s="27">
        <f>FAULTS_ANNUAL_VEG</f>
        <v>455.6</v>
      </c>
      <c r="D18" s="27">
        <f>FAULTS_ANN_VEH</f>
        <v>16.8</v>
      </c>
      <c r="E18" s="27"/>
      <c r="F18" s="27"/>
      <c r="G18" s="3"/>
      <c r="H18" s="44"/>
      <c r="I18" s="44"/>
      <c r="J18" s="44"/>
      <c r="K18" s="50" t="s">
        <v>35</v>
      </c>
      <c r="L18" s="27"/>
      <c r="M18" s="27"/>
      <c r="N18" s="27"/>
      <c r="O18" s="27"/>
      <c r="P18" s="27"/>
      <c r="Q18" s="27"/>
      <c r="R18" s="27"/>
      <c r="S18" s="27"/>
      <c r="T18" s="44">
        <v>15</v>
      </c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</row>
    <row r="19" spans="1:34" x14ac:dyDescent="0.25">
      <c r="A19" s="44" t="s">
        <v>34</v>
      </c>
      <c r="B19" s="29">
        <f>POC_OUTAGE*COC_OUTAGE</f>
        <v>6.3000000000000007</v>
      </c>
      <c r="C19" s="29">
        <f>POC_OUTAGE*COC_OUTAGE</f>
        <v>6.3000000000000007</v>
      </c>
      <c r="D19" s="29">
        <f>POC_OUTAGE*COC_OUTAGE</f>
        <v>6.3000000000000007</v>
      </c>
      <c r="E19" s="29"/>
      <c r="F19" s="29"/>
      <c r="G19" s="31">
        <f>SUMPRODUCT(($B$23:$F$23)*(B19:F19))</f>
        <v>6.3000000000000016</v>
      </c>
      <c r="H19" s="44"/>
      <c r="I19" s="44"/>
      <c r="J19" s="44"/>
      <c r="K19" s="50" t="s">
        <v>37</v>
      </c>
      <c r="L19" s="27"/>
      <c r="M19" s="27"/>
      <c r="N19" s="27"/>
      <c r="O19" s="27"/>
      <c r="P19" s="27"/>
      <c r="Q19" s="27"/>
      <c r="R19" s="27"/>
      <c r="S19" s="27"/>
      <c r="T19" s="44">
        <v>16</v>
      </c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</row>
    <row r="20" spans="1:34" ht="15" customHeight="1" x14ac:dyDescent="0.25">
      <c r="A20" s="44" t="s">
        <v>36</v>
      </c>
      <c r="B20" s="29">
        <f>POC_SHOCK*PUBLIC_DF*VLTI</f>
        <v>50575.221238938058</v>
      </c>
      <c r="C20" s="29"/>
      <c r="D20" s="29"/>
      <c r="E20" s="29"/>
      <c r="F20" s="29"/>
      <c r="G20" s="31">
        <f>SUMPRODUCT(($B$23:$F$23)*(B20:F20))</f>
        <v>9762.5555175948084</v>
      </c>
      <c r="H20" s="44"/>
      <c r="I20" s="44"/>
      <c r="J20" s="44"/>
      <c r="K20" s="50"/>
      <c r="L20" s="44"/>
      <c r="M20" s="44"/>
      <c r="N20" s="44"/>
      <c r="O20" s="44"/>
      <c r="P20" s="44"/>
      <c r="Q20" s="44"/>
      <c r="R20" s="44"/>
      <c r="S20" s="44"/>
      <c r="T20" s="44">
        <v>17</v>
      </c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</row>
    <row r="21" spans="1:34" x14ac:dyDescent="0.25">
      <c r="A21" s="44" t="s">
        <v>38</v>
      </c>
      <c r="B21" s="29"/>
      <c r="C21" s="29"/>
      <c r="D21" s="29"/>
      <c r="E21" s="29"/>
      <c r="F21" s="27"/>
      <c r="G21" s="31">
        <f>SUMPRODUCT(($B$23:$F$23)*(B21:F21))</f>
        <v>0</v>
      </c>
      <c r="H21" s="44"/>
      <c r="I21" s="44"/>
      <c r="J21" s="44"/>
      <c r="K21" s="50" t="s">
        <v>51</v>
      </c>
      <c r="L21" s="27">
        <f>M21*5</f>
        <v>2927</v>
      </c>
      <c r="M21" s="27">
        <f>SUM(B18:F18)</f>
        <v>585.4</v>
      </c>
      <c r="N21" s="27">
        <f>SUM(B18:F18)</f>
        <v>585.4</v>
      </c>
      <c r="O21" s="27">
        <v>528.9</v>
      </c>
      <c r="P21" s="27"/>
      <c r="Q21" s="27"/>
      <c r="R21" s="27">
        <f>SUM(D18:F18)+0.5*B18+C18</f>
        <v>528.9</v>
      </c>
      <c r="S21" s="27"/>
      <c r="T21" s="44">
        <v>18</v>
      </c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</row>
    <row r="22" spans="1:34" x14ac:dyDescent="0.25">
      <c r="A22" s="44" t="s">
        <v>39</v>
      </c>
      <c r="B22" s="29">
        <f>POC_FIRE*CoC_Fire</f>
        <v>17.218995558592415</v>
      </c>
      <c r="C22" s="29">
        <f>POC_FIRE*CoC_Fire</f>
        <v>17.218995558592415</v>
      </c>
      <c r="D22" s="29">
        <f>POC_FIRE*CoC_Fire</f>
        <v>17.218995558592415</v>
      </c>
      <c r="E22" s="29"/>
      <c r="F22" s="27"/>
      <c r="G22" s="31">
        <f>SUMPRODUCT(($B$23:$F$23)*(B22:F22))</f>
        <v>17.218995558592418</v>
      </c>
      <c r="H22" s="44"/>
      <c r="I22" s="44"/>
      <c r="J22" s="44"/>
      <c r="K22" s="50"/>
      <c r="L22" s="44"/>
      <c r="M22" s="44"/>
      <c r="N22" s="44"/>
      <c r="O22" s="44"/>
      <c r="P22" s="44"/>
      <c r="Q22" s="44"/>
      <c r="R22" s="44"/>
      <c r="S22" s="44"/>
      <c r="T22" s="44">
        <v>19</v>
      </c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</row>
    <row r="23" spans="1:34" x14ac:dyDescent="0.25">
      <c r="A23" s="44" t="s">
        <v>86</v>
      </c>
      <c r="B23" s="30">
        <f>B18/SUM($B$18:$F$18)</f>
        <v>0.19303040655961737</v>
      </c>
      <c r="C23" s="30">
        <f>C18/SUM($B$18:$F$18)</f>
        <v>0.77827126750939535</v>
      </c>
      <c r="D23" s="30">
        <f>D18/SUM($B$18:$F$18)</f>
        <v>2.869832593098736E-2</v>
      </c>
      <c r="E23" s="30">
        <f>E18/SUM($B$18:$F$18)</f>
        <v>0</v>
      </c>
      <c r="F23" s="30">
        <f>F18/SUM($B$18:$F$18)</f>
        <v>0</v>
      </c>
      <c r="G23" s="31"/>
      <c r="H23" s="44"/>
      <c r="I23" s="44"/>
      <c r="J23" s="44"/>
      <c r="K23" s="50"/>
      <c r="L23" s="44"/>
      <c r="M23" s="44"/>
      <c r="N23" s="44"/>
      <c r="O23" s="44"/>
      <c r="P23" s="44"/>
      <c r="Q23" s="44"/>
      <c r="R23" s="44"/>
      <c r="S23" s="44"/>
      <c r="T23" s="44">
        <v>20</v>
      </c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</row>
    <row r="24" spans="1:34" x14ac:dyDescent="0.25">
      <c r="A24" s="48" t="s">
        <v>40</v>
      </c>
      <c r="B24" s="33">
        <f>SUM(B19:B22)</f>
        <v>50598.740234496654</v>
      </c>
      <c r="C24" s="33">
        <f>SUM(C19:C22)</f>
        <v>23.518995558592415</v>
      </c>
      <c r="D24" s="33">
        <f>SUM(D19:D22)</f>
        <v>23.518995558592415</v>
      </c>
      <c r="E24" s="33">
        <f>SUM(E19:E22)</f>
        <v>0</v>
      </c>
      <c r="F24" s="3"/>
      <c r="G24" s="31">
        <f>SUM(G19:G23)</f>
        <v>9786.0745131534004</v>
      </c>
      <c r="H24" s="44"/>
      <c r="I24" s="44"/>
      <c r="J24" s="44"/>
      <c r="K24" s="50"/>
      <c r="L24" s="44"/>
      <c r="M24" s="44"/>
      <c r="N24" s="44"/>
      <c r="O24" s="44"/>
      <c r="P24" s="44"/>
      <c r="Q24" s="44"/>
      <c r="R24" s="44"/>
      <c r="S24" s="44"/>
      <c r="T24" s="44">
        <v>21</v>
      </c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</row>
    <row r="25" spans="1:34" ht="15" customHeight="1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50"/>
      <c r="L25" s="44" t="s">
        <v>58</v>
      </c>
      <c r="M25" s="44"/>
      <c r="N25" s="44"/>
      <c r="O25" s="44"/>
      <c r="P25" s="44"/>
      <c r="Q25" s="44"/>
      <c r="R25" s="44"/>
      <c r="S25" s="44"/>
      <c r="T25" s="44">
        <v>22</v>
      </c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</row>
    <row r="26" spans="1:34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52" t="s">
        <v>41</v>
      </c>
      <c r="L26" s="31">
        <f>L7</f>
        <v>642</v>
      </c>
      <c r="M26" s="31">
        <f t="shared" ref="M26:R26" si="3">M7</f>
        <v>642</v>
      </c>
      <c r="N26" s="31">
        <f t="shared" si="3"/>
        <v>642</v>
      </c>
      <c r="O26" s="31">
        <f t="shared" si="3"/>
        <v>642</v>
      </c>
      <c r="P26" s="31">
        <f t="shared" si="3"/>
        <v>0</v>
      </c>
      <c r="Q26" s="31">
        <f t="shared" si="3"/>
        <v>0</v>
      </c>
      <c r="R26" s="31">
        <f t="shared" si="3"/>
        <v>0</v>
      </c>
      <c r="S26" s="31"/>
      <c r="T26" s="44">
        <v>23</v>
      </c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</row>
    <row r="27" spans="1:34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52" t="s">
        <v>42</v>
      </c>
      <c r="L27" s="54">
        <f>M27</f>
        <v>104</v>
      </c>
      <c r="M27" s="54">
        <v>104</v>
      </c>
      <c r="N27" s="54">
        <v>52</v>
      </c>
      <c r="O27" s="54">
        <v>36.5</v>
      </c>
      <c r="P27" s="54">
        <f>M27*0.95</f>
        <v>98.8</v>
      </c>
      <c r="Q27" s="54">
        <f>M27*1.05</f>
        <v>109.2</v>
      </c>
      <c r="R27" s="54">
        <f>L27</f>
        <v>104</v>
      </c>
      <c r="S27" s="54"/>
      <c r="T27" s="44">
        <v>24</v>
      </c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</row>
    <row r="28" spans="1:34" x14ac:dyDescent="0.2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52" t="s">
        <v>43</v>
      </c>
      <c r="L28" s="31">
        <f>(IFERROR(L10/L15,0)+IFERROR(L11/L16,0)+IFERROR(L12/L17,0)+IFERROR(L13/L18,0)+IFERROR(L14/L19,0))</f>
        <v>0</v>
      </c>
      <c r="M28" s="31">
        <f>(IFERROR(M10/M15,0)+IFERROR(M11/M16,0)+IFERROR(M12/M17,0)+IFERROR(M13/M18,0)+IFERROR(M14/M19,0))</f>
        <v>2.7425211448380269</v>
      </c>
      <c r="N28" s="31">
        <f>(IFERROR(N10/N15,0)+IFERROR(N11/N16,0)+IFERROR(N12/N17,0)+IFERROR(N13/N18,0)+IFERROR(N14/N19,0))</f>
        <v>0</v>
      </c>
      <c r="O28" s="31">
        <f t="shared" ref="O28:Q28" si="4">(IFERROR(O10/O15,0)+IFERROR(O11/O16,0)+IFERROR(O12/O17,0)+IFERROR(O13/O18,0)+IFERROR(O14/O19,0))</f>
        <v>0</v>
      </c>
      <c r="P28" s="31">
        <f t="shared" si="4"/>
        <v>0</v>
      </c>
      <c r="Q28" s="31">
        <f t="shared" si="4"/>
        <v>0</v>
      </c>
      <c r="R28" s="31">
        <f>(IFERROR(R10/R15,0)+IFERROR(R11/R16,0)+IFERROR(R12/R17,0)+IFERROR(R13/R18,0)+IFERROR(R14/R19,0))</f>
        <v>0</v>
      </c>
      <c r="S28" s="31"/>
      <c r="T28" s="44">
        <v>25</v>
      </c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</row>
    <row r="29" spans="1:34" x14ac:dyDescent="0.2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52" t="s">
        <v>44</v>
      </c>
      <c r="L29" s="36">
        <f>L21/$B$3</f>
        <v>8.0273593909409042E-3</v>
      </c>
      <c r="M29" s="36">
        <f>M21/$B$3</f>
        <v>1.6054718781881808E-3</v>
      </c>
      <c r="N29" s="36">
        <f>N21/$B$3</f>
        <v>1.6054718781881808E-3</v>
      </c>
      <c r="O29" s="36">
        <f>O21/$B$3</f>
        <v>1.4505194335048322E-3</v>
      </c>
      <c r="P29" s="36">
        <f t="shared" ref="P29" si="5">P21/$B$3</f>
        <v>0</v>
      </c>
      <c r="Q29" s="36">
        <f>Q21/$B$3</f>
        <v>0</v>
      </c>
      <c r="R29" s="36">
        <f>R21/$B$3</f>
        <v>1.4505194335048322E-3</v>
      </c>
      <c r="S29" s="36"/>
      <c r="T29" s="44">
        <v>26</v>
      </c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</row>
    <row r="30" spans="1:34" ht="15" customHeight="1" x14ac:dyDescent="0.2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52" t="s">
        <v>45</v>
      </c>
      <c r="L30" s="31">
        <f>L29*$G$24</f>
        <v>78.556337143609383</v>
      </c>
      <c r="M30" s="37">
        <f>M29*$G$24</f>
        <v>15.711267428721877</v>
      </c>
      <c r="N30" s="37">
        <v>78.407999605076967</v>
      </c>
      <c r="O30" s="37">
        <v>7.8458924438057398</v>
      </c>
      <c r="P30" s="31">
        <f t="shared" ref="P30:R30" si="6">P29*$G$24</f>
        <v>0</v>
      </c>
      <c r="Q30" s="31">
        <f t="shared" si="6"/>
        <v>0</v>
      </c>
      <c r="R30" s="31">
        <f t="shared" si="6"/>
        <v>14.194891259055348</v>
      </c>
      <c r="S30" s="31"/>
      <c r="T30" s="44">
        <v>27</v>
      </c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</row>
    <row r="31" spans="1:34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52" t="s">
        <v>46</v>
      </c>
      <c r="L31" s="31">
        <f t="shared" ref="L31:Q31" si="7">L26/L27</f>
        <v>6.1730769230769234</v>
      </c>
      <c r="M31" s="31">
        <f>M26/M27</f>
        <v>6.1730769230769234</v>
      </c>
      <c r="N31" s="31">
        <f>N26/N27</f>
        <v>12.346153846153847</v>
      </c>
      <c r="O31" s="31">
        <f>O26/O27</f>
        <v>17.589041095890412</v>
      </c>
      <c r="P31" s="31">
        <f t="shared" si="7"/>
        <v>0</v>
      </c>
      <c r="Q31" s="31">
        <f t="shared" si="7"/>
        <v>0</v>
      </c>
      <c r="R31" s="31">
        <f>R26/R27</f>
        <v>0</v>
      </c>
      <c r="S31" s="31"/>
      <c r="T31" s="44">
        <v>28</v>
      </c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</row>
    <row r="32" spans="1:34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50"/>
      <c r="L32" s="38"/>
      <c r="M32" s="38"/>
      <c r="N32" s="38"/>
      <c r="O32" s="38"/>
      <c r="P32" s="38"/>
      <c r="Q32" s="38"/>
      <c r="R32" s="38"/>
      <c r="S32" s="38"/>
      <c r="T32" s="44">
        <v>29</v>
      </c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</row>
    <row r="33" spans="1:34" x14ac:dyDescent="0.2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50"/>
      <c r="L33" s="44"/>
      <c r="M33" s="44"/>
      <c r="N33" s="44"/>
      <c r="O33" s="44"/>
      <c r="P33" s="44"/>
      <c r="Q33" s="44"/>
      <c r="R33" s="44"/>
      <c r="S33" s="44"/>
      <c r="T33" s="44">
        <v>30</v>
      </c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</row>
    <row r="34" spans="1:34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50" t="s">
        <v>40</v>
      </c>
      <c r="L34" s="39">
        <f t="shared" ref="L34:R34" si="8">L31+L30+L28</f>
        <v>84.729414066686303</v>
      </c>
      <c r="M34" s="39">
        <f t="shared" si="8"/>
        <v>24.626865496636828</v>
      </c>
      <c r="N34" s="39">
        <f>N31+N30+N28</f>
        <v>90.75415345123082</v>
      </c>
      <c r="O34" s="39">
        <f t="shared" si="8"/>
        <v>25.434933539696154</v>
      </c>
      <c r="P34" s="31">
        <f t="shared" si="8"/>
        <v>0</v>
      </c>
      <c r="Q34" s="31">
        <f t="shared" si="8"/>
        <v>0</v>
      </c>
      <c r="R34" s="31">
        <f t="shared" si="8"/>
        <v>14.194891259055348</v>
      </c>
      <c r="S34" s="31"/>
      <c r="T34" s="44">
        <v>31</v>
      </c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</row>
    <row r="35" spans="1:34" ht="15" customHeight="1" x14ac:dyDescent="0.2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50" t="s">
        <v>47</v>
      </c>
      <c r="L35" s="40">
        <f>(L30+L28)/L26</f>
        <v>0.12236189586231991</v>
      </c>
      <c r="M35" s="40">
        <f t="shared" ref="M35:R35" si="9">(M30+M28)/M26</f>
        <v>2.8744218961931314E-2</v>
      </c>
      <c r="N35" s="40">
        <f t="shared" si="9"/>
        <v>0.12213084050635041</v>
      </c>
      <c r="O35" s="40">
        <f t="shared" si="9"/>
        <v>1.2221016267610187E-2</v>
      </c>
      <c r="P35" s="40" t="e">
        <f t="shared" si="9"/>
        <v>#DIV/0!</v>
      </c>
      <c r="Q35" s="40" t="e">
        <f t="shared" si="9"/>
        <v>#DIV/0!</v>
      </c>
      <c r="R35" s="40" t="e">
        <f t="shared" si="9"/>
        <v>#DIV/0!</v>
      </c>
      <c r="S35" s="40"/>
      <c r="T35" s="44">
        <v>32</v>
      </c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</row>
    <row r="36" spans="1:34" x14ac:dyDescent="0.25"/>
    <row r="37" spans="1:34" x14ac:dyDescent="0.25"/>
    <row r="38" spans="1:34" x14ac:dyDescent="0.25"/>
    <row r="39" spans="1:34" x14ac:dyDescent="0.25"/>
    <row r="40" spans="1:34" ht="15" customHeight="1" x14ac:dyDescent="0.25"/>
    <row r="41" spans="1:34" x14ac:dyDescent="0.25"/>
    <row r="42" spans="1:34" x14ac:dyDescent="0.25"/>
    <row r="43" spans="1:34" x14ac:dyDescent="0.25"/>
    <row r="44" spans="1:34" x14ac:dyDescent="0.25"/>
    <row r="45" spans="1:34" x14ac:dyDescent="0.25"/>
    <row r="46" spans="1:34" ht="15" customHeight="1" x14ac:dyDescent="0.25"/>
    <row r="47" spans="1:34" x14ac:dyDescent="0.25"/>
    <row r="48" spans="1:34" x14ac:dyDescent="0.25"/>
    <row r="49" x14ac:dyDescent="0.25"/>
    <row r="50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t="15" hidden="1" customHeight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t="15.75" hidden="1" customHeight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t="15" hidden="1" customHeight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t="15" hidden="1" customHeight="1" x14ac:dyDescent="0.25"/>
    <row r="90" hidden="1" x14ac:dyDescent="0.25"/>
    <row r="91" ht="15" hidden="1" customHeight="1" x14ac:dyDescent="0.25"/>
    <row r="92" hidden="1" x14ac:dyDescent="0.25"/>
    <row r="93" hidden="1" x14ac:dyDescent="0.25"/>
    <row r="94" ht="15" hidden="1" customHeight="1" x14ac:dyDescent="0.25"/>
    <row r="95" hidden="1" x14ac:dyDescent="0.25"/>
    <row r="96" hidden="1" x14ac:dyDescent="0.25"/>
    <row r="97" hidden="1" x14ac:dyDescent="0.25"/>
    <row r="98" hidden="1" x14ac:dyDescent="0.25"/>
    <row r="99" ht="15" hidden="1" customHeight="1" x14ac:dyDescent="0.25"/>
    <row r="100" hidden="1" x14ac:dyDescent="0.25"/>
    <row r="101" hidden="1" x14ac:dyDescent="0.25"/>
    <row r="102" hidden="1" x14ac:dyDescent="0.25"/>
    <row r="103" hidden="1" x14ac:dyDescent="0.25"/>
    <row r="104" ht="15" hidden="1" customHeight="1" x14ac:dyDescent="0.25"/>
    <row r="105" hidden="1" x14ac:dyDescent="0.25"/>
    <row r="106" hidden="1" x14ac:dyDescent="0.25"/>
    <row r="107" hidden="1" x14ac:dyDescent="0.25"/>
    <row r="108" hidden="1" x14ac:dyDescent="0.25"/>
    <row r="109" ht="15" hidden="1" customHeight="1" x14ac:dyDescent="0.25"/>
    <row r="110" hidden="1" x14ac:dyDescent="0.25"/>
    <row r="111" hidden="1" x14ac:dyDescent="0.25"/>
    <row r="112" hidden="1" x14ac:dyDescent="0.25"/>
    <row r="113" hidden="1" x14ac:dyDescent="0.25"/>
    <row r="114" ht="15" hidden="1" customHeight="1" x14ac:dyDescent="0.25"/>
  </sheetData>
  <mergeCells count="9">
    <mergeCell ref="Q5:Q6"/>
    <mergeCell ref="R5:R6"/>
    <mergeCell ref="S5:S6"/>
    <mergeCell ref="K5:K6"/>
    <mergeCell ref="L5:L6"/>
    <mergeCell ref="M5:M6"/>
    <mergeCell ref="N5:N6"/>
    <mergeCell ref="O5:O6"/>
    <mergeCell ref="P5:P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4"/>
  <sheetViews>
    <sheetView showGridLines="0" zoomScale="60" zoomScaleNormal="60" workbookViewId="0">
      <selection activeCell="B30" sqref="B30"/>
    </sheetView>
  </sheetViews>
  <sheetFormatPr defaultColWidth="0" defaultRowHeight="15" zeroHeight="1" x14ac:dyDescent="0.25"/>
  <cols>
    <col min="1" max="1" width="34.7109375" customWidth="1"/>
    <col min="2" max="3" width="13.7109375" customWidth="1"/>
    <col min="4" max="4" width="14.140625" customWidth="1"/>
    <col min="5" max="5" width="14.42578125" customWidth="1"/>
    <col min="6" max="6" width="13.42578125" customWidth="1"/>
    <col min="7" max="7" width="17.5703125" customWidth="1"/>
    <col min="8" max="10" width="4.85546875" customWidth="1"/>
    <col min="11" max="11" width="26.85546875" style="53" bestFit="1" customWidth="1"/>
    <col min="12" max="12" width="18.85546875" customWidth="1"/>
    <col min="13" max="13" width="16.85546875" customWidth="1"/>
    <col min="14" max="14" width="17" customWidth="1"/>
    <col min="15" max="15" width="18.42578125" customWidth="1"/>
    <col min="16" max="16" width="15.85546875" customWidth="1"/>
    <col min="17" max="19" width="9.85546875" bestFit="1" customWidth="1"/>
    <col min="20" max="23" width="4.42578125" customWidth="1"/>
    <col min="24" max="24" width="9.140625" customWidth="1"/>
    <col min="25" max="25" width="26.5703125" customWidth="1"/>
    <col min="26" max="26" width="14.42578125" customWidth="1"/>
    <col min="27" max="27" width="14.5703125" customWidth="1"/>
    <col min="28" max="28" width="14.85546875" customWidth="1"/>
    <col min="29" max="29" width="9.5703125" customWidth="1"/>
    <col min="30" max="32" width="9.140625" customWidth="1"/>
    <col min="33" max="16384" width="9.140625" hidden="1"/>
  </cols>
  <sheetData>
    <row r="1" spans="1:32" s="60" customFormat="1" ht="35.25" customHeight="1" x14ac:dyDescent="0.25">
      <c r="A1" s="57" t="s">
        <v>49</v>
      </c>
      <c r="B1" s="58"/>
      <c r="C1" s="57"/>
      <c r="D1" s="58"/>
      <c r="E1" s="58"/>
      <c r="F1" s="57"/>
      <c r="G1" s="58"/>
      <c r="H1" s="58"/>
      <c r="I1" s="58"/>
      <c r="J1" s="58"/>
      <c r="K1" s="61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7"/>
      <c r="Y1" s="58"/>
      <c r="Z1" s="58"/>
      <c r="AA1" s="58"/>
      <c r="AB1" s="58"/>
      <c r="AC1" s="58"/>
      <c r="AD1" s="58"/>
      <c r="AE1" s="58"/>
      <c r="AF1" s="59"/>
    </row>
    <row r="2" spans="1:32" ht="17.25" customHeight="1" x14ac:dyDescent="0.25">
      <c r="A2" s="42" t="s">
        <v>0</v>
      </c>
      <c r="B2" s="43"/>
      <c r="C2" s="43"/>
      <c r="D2" s="43"/>
      <c r="E2" s="43"/>
      <c r="F2" s="43"/>
      <c r="G2" s="43"/>
      <c r="H2" s="44"/>
      <c r="I2" s="44"/>
      <c r="J2" s="44"/>
      <c r="K2" s="50"/>
      <c r="L2" s="42" t="s">
        <v>96</v>
      </c>
      <c r="M2" s="43"/>
      <c r="N2" s="43"/>
      <c r="O2" s="43"/>
      <c r="P2" s="43"/>
      <c r="Q2" s="43"/>
      <c r="R2" s="43"/>
      <c r="S2" s="43"/>
      <c r="T2" s="44"/>
      <c r="U2" s="44"/>
      <c r="V2" s="44"/>
      <c r="W2" s="44"/>
      <c r="X2" s="42" t="s">
        <v>87</v>
      </c>
      <c r="Y2" s="43"/>
      <c r="Z2" s="42" t="s">
        <v>88</v>
      </c>
      <c r="AA2" s="43"/>
      <c r="AB2" s="43"/>
      <c r="AC2" s="43"/>
      <c r="AD2" s="43"/>
      <c r="AE2" s="43"/>
      <c r="AF2" s="44"/>
    </row>
    <row r="3" spans="1:32" ht="15" customHeight="1" x14ac:dyDescent="0.25">
      <c r="A3" s="44" t="s">
        <v>53</v>
      </c>
      <c r="B3" s="26">
        <f>NUM_NEUTRAL_SCREEN</f>
        <v>14476</v>
      </c>
      <c r="C3" s="44" t="s">
        <v>108</v>
      </c>
      <c r="D3" s="44"/>
      <c r="E3" s="44"/>
      <c r="F3" s="44"/>
      <c r="G3" s="44"/>
      <c r="H3" s="44"/>
      <c r="I3" s="44"/>
      <c r="J3" s="44"/>
      <c r="K3" s="50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>
        <v>28</v>
      </c>
      <c r="AA3" s="44">
        <v>25</v>
      </c>
      <c r="AB3" s="44">
        <v>27</v>
      </c>
      <c r="AC3" s="44">
        <v>18</v>
      </c>
      <c r="AD3" s="44"/>
      <c r="AE3" s="44"/>
      <c r="AF3" s="44"/>
    </row>
    <row r="4" spans="1:32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50" t="s">
        <v>1</v>
      </c>
      <c r="L4" s="44" t="s">
        <v>2</v>
      </c>
      <c r="M4" s="44" t="s">
        <v>3</v>
      </c>
      <c r="N4" s="44" t="s">
        <v>4</v>
      </c>
      <c r="O4" s="44" t="s">
        <v>5</v>
      </c>
      <c r="P4" s="44" t="s">
        <v>6</v>
      </c>
      <c r="Q4" s="44" t="s">
        <v>7</v>
      </c>
      <c r="R4" s="44" t="s">
        <v>8</v>
      </c>
      <c r="S4" s="44" t="s">
        <v>9</v>
      </c>
      <c r="T4" s="44">
        <v>1</v>
      </c>
      <c r="U4" s="44"/>
      <c r="V4" s="44"/>
      <c r="W4" s="44"/>
      <c r="X4" s="3"/>
      <c r="Y4" s="3"/>
      <c r="Z4" s="3" t="s">
        <v>158</v>
      </c>
      <c r="AA4" s="3" t="s">
        <v>159</v>
      </c>
      <c r="AB4" s="3" t="s">
        <v>160</v>
      </c>
      <c r="AC4" s="3" t="s">
        <v>11</v>
      </c>
      <c r="AD4" s="3" t="s">
        <v>40</v>
      </c>
      <c r="AE4" s="3"/>
      <c r="AF4" s="44"/>
    </row>
    <row r="5" spans="1:32" ht="15" customHeight="1" x14ac:dyDescent="0.25">
      <c r="A5" s="44" t="s">
        <v>12</v>
      </c>
      <c r="B5" s="25">
        <f>COST_REPL_SERVICE</f>
        <v>642</v>
      </c>
      <c r="C5" s="44"/>
      <c r="D5" s="44"/>
      <c r="E5" s="44"/>
      <c r="F5" s="44"/>
      <c r="G5" s="44"/>
      <c r="H5" s="45"/>
      <c r="I5" s="44"/>
      <c r="J5" s="44"/>
      <c r="K5" s="51" t="s">
        <v>13</v>
      </c>
      <c r="L5" s="34" t="s">
        <v>161</v>
      </c>
      <c r="M5" s="34" t="s">
        <v>165</v>
      </c>
      <c r="N5" s="34" t="s">
        <v>162</v>
      </c>
      <c r="O5" s="34" t="s">
        <v>163</v>
      </c>
      <c r="P5" s="34" t="s">
        <v>164</v>
      </c>
      <c r="Q5" s="34"/>
      <c r="R5" s="34"/>
      <c r="S5" s="34"/>
      <c r="T5" s="44">
        <v>2</v>
      </c>
      <c r="U5" s="44"/>
      <c r="V5" s="44"/>
      <c r="W5" s="44"/>
      <c r="X5" s="3" t="s">
        <v>2</v>
      </c>
      <c r="Y5" s="3" t="str">
        <f>HLOOKUP(X5,$L$4:$S$6,2,FALSE)</f>
        <v>No maintenance</v>
      </c>
      <c r="Z5" s="31">
        <f>HLOOKUP($X5,$L$4:$S$35,Z$3,FALSE)</f>
        <v>64.2</v>
      </c>
      <c r="AA5" s="31">
        <f>HLOOKUP($X5,$L$4:$S$35,AA$3,FALSE)</f>
        <v>0</v>
      </c>
      <c r="AB5" s="31">
        <f>HLOOKUP($X5,$L$4:$S$35,AB$3,FALSE)</f>
        <v>1048.7584636902764</v>
      </c>
      <c r="AC5" s="24">
        <f>HLOOKUP($X5,$L$4:$S$35,AC$3,FALSE)</f>
        <v>393.773138650899</v>
      </c>
      <c r="AD5" s="33">
        <f t="shared" ref="AD5:AD11" si="0">Z5+AA5+AB5</f>
        <v>1112.9584636902764</v>
      </c>
      <c r="AE5" s="3"/>
      <c r="AF5" s="44"/>
    </row>
    <row r="6" spans="1:32" x14ac:dyDescent="0.25">
      <c r="A6" s="44" t="s">
        <v>52</v>
      </c>
      <c r="B6" s="26">
        <f>NUM_ABC+NUM_NEUTRAL_SCREEN+NUM_OTHER_OVERHEAD+NUM_PVC_TWIST</f>
        <v>364628</v>
      </c>
      <c r="C6" s="44"/>
      <c r="D6" s="44"/>
      <c r="E6" s="44"/>
      <c r="F6" s="44"/>
      <c r="G6" s="44"/>
      <c r="H6" s="44"/>
      <c r="I6" s="44"/>
      <c r="J6" s="44"/>
      <c r="K6" s="51"/>
      <c r="L6" s="34"/>
      <c r="M6" s="34"/>
      <c r="N6" s="34"/>
      <c r="O6" s="34"/>
      <c r="P6" s="34"/>
      <c r="Q6" s="34"/>
      <c r="R6" s="34"/>
      <c r="S6" s="34"/>
      <c r="T6" s="44">
        <v>3</v>
      </c>
      <c r="U6" s="44"/>
      <c r="V6" s="44"/>
      <c r="W6" s="44"/>
      <c r="X6" s="3" t="s">
        <v>3</v>
      </c>
      <c r="Y6" s="3" t="str">
        <f t="shared" ref="Y6:Y12" si="1">HLOOKUP(X6,$L$4:$S$6,2,FALSE)</f>
        <v>Condition monitoring (AMI)</v>
      </c>
      <c r="Z6" s="31">
        <f t="shared" ref="Z6:AC12" si="2">HLOOKUP($X6,$L$4:$S$35,Z$3,FALSE)</f>
        <v>64.2</v>
      </c>
      <c r="AA6" s="31">
        <f t="shared" si="2"/>
        <v>2.7425211448380269</v>
      </c>
      <c r="AB6" s="31">
        <f t="shared" si="2"/>
        <v>209.75169273805528</v>
      </c>
      <c r="AC6" s="24">
        <f t="shared" si="2"/>
        <v>78.754627730179806</v>
      </c>
      <c r="AD6" s="33">
        <f t="shared" si="0"/>
        <v>276.69421388289334</v>
      </c>
      <c r="AE6" s="3"/>
      <c r="AF6" s="44"/>
    </row>
    <row r="7" spans="1:32" x14ac:dyDescent="0.25">
      <c r="A7" s="44" t="s">
        <v>14</v>
      </c>
      <c r="B7" s="24">
        <f>SUM(B18:F18)</f>
        <v>78.754627730179806</v>
      </c>
      <c r="C7" s="44" t="s">
        <v>15</v>
      </c>
      <c r="D7" s="44"/>
      <c r="E7" s="44"/>
      <c r="F7" s="44"/>
      <c r="G7" s="44"/>
      <c r="H7" s="44"/>
      <c r="I7" s="44"/>
      <c r="J7" s="44"/>
      <c r="K7" s="50" t="s">
        <v>16</v>
      </c>
      <c r="L7" s="35">
        <f>B5</f>
        <v>642</v>
      </c>
      <c r="M7" s="35">
        <f>L7</f>
        <v>642</v>
      </c>
      <c r="N7" s="35">
        <f>COST_REPL_SERVICE</f>
        <v>642</v>
      </c>
      <c r="O7" s="35">
        <f>N7</f>
        <v>642</v>
      </c>
      <c r="P7" s="35">
        <f>N7</f>
        <v>642</v>
      </c>
      <c r="Q7" s="35"/>
      <c r="R7" s="35"/>
      <c r="S7" s="35"/>
      <c r="T7" s="44">
        <v>4</v>
      </c>
      <c r="U7" s="44"/>
      <c r="V7" s="44"/>
      <c r="W7" s="44"/>
      <c r="X7" s="3" t="s">
        <v>4</v>
      </c>
      <c r="Y7" s="3" t="str">
        <f t="shared" si="1"/>
        <v>Proactive replacement (5Y)</v>
      </c>
      <c r="Z7" s="31">
        <f t="shared" si="2"/>
        <v>256.8</v>
      </c>
      <c r="AA7" s="31">
        <f t="shared" si="2"/>
        <v>2.7425211448380269</v>
      </c>
      <c r="AB7" s="31">
        <f t="shared" si="2"/>
        <v>111.07431415187115</v>
      </c>
      <c r="AC7" s="24">
        <f t="shared" si="2"/>
        <v>41.704627730179801</v>
      </c>
      <c r="AD7" s="33">
        <f t="shared" si="0"/>
        <v>370.61683529670916</v>
      </c>
      <c r="AE7" s="3"/>
      <c r="AF7" s="44"/>
    </row>
    <row r="8" spans="1:32" x14ac:dyDescent="0.25">
      <c r="A8" s="44" t="s">
        <v>17</v>
      </c>
      <c r="B8" s="24">
        <f>B7/B3*1000</f>
        <v>5.4403583676554161</v>
      </c>
      <c r="C8" s="44" t="s">
        <v>107</v>
      </c>
      <c r="D8" s="44"/>
      <c r="E8" s="44"/>
      <c r="F8" s="44"/>
      <c r="G8" s="44"/>
      <c r="H8" s="44"/>
      <c r="I8" s="44"/>
      <c r="J8" s="44"/>
      <c r="K8" s="50" t="s">
        <v>57</v>
      </c>
      <c r="L8" s="27"/>
      <c r="M8" s="27"/>
      <c r="N8" s="27"/>
      <c r="O8" s="27"/>
      <c r="P8" s="27"/>
      <c r="Q8" s="27"/>
      <c r="R8" s="27"/>
      <c r="S8" s="27"/>
      <c r="T8" s="44">
        <v>5</v>
      </c>
      <c r="U8" s="44"/>
      <c r="V8" s="44"/>
      <c r="W8" s="44"/>
      <c r="X8" s="3" t="s">
        <v>5</v>
      </c>
      <c r="Y8" s="3" t="str">
        <f t="shared" si="1"/>
        <v>Proactive replacement (10Y)</v>
      </c>
      <c r="Z8" s="31">
        <f t="shared" si="2"/>
        <v>128.4</v>
      </c>
      <c r="AA8" s="31">
        <f t="shared" si="2"/>
        <v>2.7425211448380269</v>
      </c>
      <c r="AB8" s="31">
        <f t="shared" si="2"/>
        <v>111.07431415187115</v>
      </c>
      <c r="AC8" s="24">
        <f t="shared" si="2"/>
        <v>41.704627730179801</v>
      </c>
      <c r="AD8" s="33">
        <f t="shared" si="0"/>
        <v>242.21683529670918</v>
      </c>
      <c r="AE8" s="3"/>
      <c r="AF8" s="44"/>
    </row>
    <row r="9" spans="1:32" x14ac:dyDescent="0.25">
      <c r="A9" s="44" t="s">
        <v>18</v>
      </c>
      <c r="B9" s="26" t="s">
        <v>3</v>
      </c>
      <c r="C9" s="44"/>
      <c r="D9" s="44"/>
      <c r="E9" s="45"/>
      <c r="F9" s="44"/>
      <c r="G9" s="44"/>
      <c r="H9" s="44"/>
      <c r="I9" s="44"/>
      <c r="J9" s="44"/>
      <c r="K9" s="50"/>
      <c r="L9" s="44"/>
      <c r="M9" s="44"/>
      <c r="N9" s="44"/>
      <c r="O9" s="44"/>
      <c r="P9" s="44"/>
      <c r="Q9" s="44"/>
      <c r="R9" s="44"/>
      <c r="S9" s="44"/>
      <c r="T9" s="44">
        <v>6</v>
      </c>
      <c r="U9" s="44"/>
      <c r="V9" s="44"/>
      <c r="W9" s="44"/>
      <c r="X9" s="3" t="s">
        <v>6</v>
      </c>
      <c r="Y9" s="3" t="str">
        <f t="shared" si="1"/>
        <v>Inspect and maintain</v>
      </c>
      <c r="Z9" s="31">
        <f t="shared" si="2"/>
        <v>64.2</v>
      </c>
      <c r="AA9" s="31">
        <f t="shared" si="2"/>
        <v>10</v>
      </c>
      <c r="AB9" s="31">
        <f t="shared" si="2"/>
        <v>419.50338547611057</v>
      </c>
      <c r="AC9" s="24">
        <f t="shared" si="2"/>
        <v>157.50925546035961</v>
      </c>
      <c r="AD9" s="33">
        <f t="shared" si="0"/>
        <v>493.70338547611055</v>
      </c>
      <c r="AE9" s="3"/>
      <c r="AF9" s="44"/>
    </row>
    <row r="10" spans="1:32" ht="15" customHeight="1" x14ac:dyDescent="0.25">
      <c r="A10" s="44" t="s">
        <v>19</v>
      </c>
      <c r="B10" s="24">
        <f>B3/B11</f>
        <v>7.7894666666666659</v>
      </c>
      <c r="C10" s="44" t="s">
        <v>20</v>
      </c>
      <c r="D10" s="44"/>
      <c r="E10" s="44"/>
      <c r="F10" s="44"/>
      <c r="G10" s="46"/>
      <c r="H10" s="44"/>
      <c r="I10" s="44"/>
      <c r="J10" s="44"/>
      <c r="K10" s="50" t="s">
        <v>110</v>
      </c>
      <c r="L10" s="27"/>
      <c r="M10" s="27">
        <f>1000000/B6</f>
        <v>2.7425211448380269</v>
      </c>
      <c r="N10" s="27">
        <f>M10</f>
        <v>2.7425211448380269</v>
      </c>
      <c r="O10" s="27">
        <f>N10</f>
        <v>2.7425211448380269</v>
      </c>
      <c r="P10" s="27"/>
      <c r="Q10" s="27"/>
      <c r="R10" s="27"/>
      <c r="S10" s="27"/>
      <c r="T10" s="44">
        <v>7</v>
      </c>
      <c r="U10" s="44"/>
      <c r="V10" s="44"/>
      <c r="W10" s="44"/>
      <c r="X10" s="3" t="s">
        <v>7</v>
      </c>
      <c r="Y10" s="3">
        <f t="shared" si="1"/>
        <v>0</v>
      </c>
      <c r="Z10" s="31">
        <f>HLOOKUP($X10,$L$4:$S$35,Z$3,FALSE)</f>
        <v>0</v>
      </c>
      <c r="AA10" s="31">
        <f t="shared" si="2"/>
        <v>0</v>
      </c>
      <c r="AB10" s="31">
        <f t="shared" si="2"/>
        <v>0</v>
      </c>
      <c r="AC10" s="24">
        <f t="shared" si="2"/>
        <v>0</v>
      </c>
      <c r="AD10" s="33">
        <f t="shared" si="0"/>
        <v>0</v>
      </c>
      <c r="AE10" s="3"/>
      <c r="AF10" s="44"/>
    </row>
    <row r="11" spans="1:32" x14ac:dyDescent="0.25">
      <c r="A11" s="44" t="s">
        <v>50</v>
      </c>
      <c r="B11" s="26">
        <f>NUM_REPL_ANNUAL*NS_Failures_yr/FAULTS_ANNUAL_MECH</f>
        <v>1858.4070796460178</v>
      </c>
      <c r="C11" s="44" t="s">
        <v>108</v>
      </c>
      <c r="D11" s="44"/>
      <c r="E11" s="44"/>
      <c r="F11" s="44"/>
      <c r="G11" s="44"/>
      <c r="H11" s="44"/>
      <c r="I11" s="44"/>
      <c r="J11" s="44"/>
      <c r="K11" s="50" t="s">
        <v>98</v>
      </c>
      <c r="L11" s="27"/>
      <c r="M11" s="27"/>
      <c r="N11" s="27"/>
      <c r="O11" s="27"/>
      <c r="P11" s="27">
        <f>COST_INSPECT_SERVICE</f>
        <v>100</v>
      </c>
      <c r="Q11" s="27"/>
      <c r="R11" s="27"/>
      <c r="S11" s="27"/>
      <c r="T11" s="44">
        <v>8</v>
      </c>
      <c r="U11" s="44"/>
      <c r="V11" s="44"/>
      <c r="W11" s="44"/>
      <c r="X11" s="3" t="s">
        <v>8</v>
      </c>
      <c r="Y11" s="3">
        <f t="shared" si="1"/>
        <v>0</v>
      </c>
      <c r="Z11" s="31">
        <f t="shared" si="2"/>
        <v>0</v>
      </c>
      <c r="AA11" s="31">
        <f t="shared" si="2"/>
        <v>0</v>
      </c>
      <c r="AB11" s="31">
        <f t="shared" si="2"/>
        <v>0</v>
      </c>
      <c r="AC11" s="24">
        <f t="shared" si="2"/>
        <v>0</v>
      </c>
      <c r="AD11" s="33">
        <f t="shared" si="0"/>
        <v>0</v>
      </c>
      <c r="AE11" s="3"/>
      <c r="AF11" s="44"/>
    </row>
    <row r="12" spans="1:32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50" t="s">
        <v>21</v>
      </c>
      <c r="L12" s="27"/>
      <c r="M12" s="27"/>
      <c r="N12" s="27"/>
      <c r="O12" s="27"/>
      <c r="P12" s="27"/>
      <c r="Q12" s="27"/>
      <c r="R12" s="27"/>
      <c r="S12" s="27"/>
      <c r="T12" s="44">
        <v>9</v>
      </c>
      <c r="U12" s="44"/>
      <c r="V12" s="44"/>
      <c r="W12" s="44"/>
      <c r="X12" s="3" t="s">
        <v>9</v>
      </c>
      <c r="Y12" s="3">
        <f t="shared" si="1"/>
        <v>0</v>
      </c>
      <c r="Z12" s="31">
        <f t="shared" si="2"/>
        <v>0</v>
      </c>
      <c r="AA12" s="31">
        <f t="shared" si="2"/>
        <v>0</v>
      </c>
      <c r="AB12" s="31">
        <f t="shared" si="2"/>
        <v>0</v>
      </c>
      <c r="AC12" s="3">
        <f t="shared" si="2"/>
        <v>0</v>
      </c>
      <c r="AD12" s="3"/>
      <c r="AE12" s="3"/>
      <c r="AF12" s="44"/>
    </row>
    <row r="13" spans="1:32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50" t="s">
        <v>22</v>
      </c>
      <c r="L13" s="27"/>
      <c r="M13" s="27"/>
      <c r="N13" s="27"/>
      <c r="O13" s="27"/>
      <c r="P13" s="27"/>
      <c r="Q13" s="27"/>
      <c r="R13" s="27"/>
      <c r="S13" s="27"/>
      <c r="T13" s="44">
        <v>10</v>
      </c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2" x14ac:dyDescent="0.25">
      <c r="A14" s="44"/>
      <c r="B14" s="44"/>
      <c r="C14" s="44"/>
      <c r="D14" s="47"/>
      <c r="E14" s="44"/>
      <c r="F14" s="44"/>
      <c r="G14" s="44"/>
      <c r="H14" s="44"/>
      <c r="I14" s="44"/>
      <c r="J14" s="44"/>
      <c r="K14" s="50" t="s">
        <v>23</v>
      </c>
      <c r="L14" s="27"/>
      <c r="M14" s="27"/>
      <c r="N14" s="27"/>
      <c r="O14" s="27"/>
      <c r="P14" s="27"/>
      <c r="Q14" s="27"/>
      <c r="R14" s="27"/>
      <c r="S14" s="27"/>
      <c r="T14" s="44">
        <v>11</v>
      </c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2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50" t="s">
        <v>24</v>
      </c>
      <c r="L15" s="27"/>
      <c r="M15" s="27">
        <v>1</v>
      </c>
      <c r="N15" s="27">
        <v>1</v>
      </c>
      <c r="O15" s="27">
        <f>N15</f>
        <v>1</v>
      </c>
      <c r="P15" s="27"/>
      <c r="Q15" s="27"/>
      <c r="R15" s="27"/>
      <c r="S15" s="27"/>
      <c r="T15" s="44">
        <v>12</v>
      </c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2" x14ac:dyDescent="0.25">
      <c r="A16" s="48" t="s">
        <v>25</v>
      </c>
      <c r="B16" s="48" t="s">
        <v>26</v>
      </c>
      <c r="C16" s="48" t="s">
        <v>27</v>
      </c>
      <c r="D16" s="48" t="s">
        <v>28</v>
      </c>
      <c r="E16" s="48" t="s">
        <v>29</v>
      </c>
      <c r="F16" s="48" t="s">
        <v>30</v>
      </c>
      <c r="G16" s="48" t="s">
        <v>31</v>
      </c>
      <c r="H16" s="44"/>
      <c r="I16" s="44"/>
      <c r="J16" s="44"/>
      <c r="K16" s="50" t="s">
        <v>32</v>
      </c>
      <c r="L16" s="27"/>
      <c r="M16" s="27"/>
      <c r="N16" s="27"/>
      <c r="O16" s="27"/>
      <c r="P16" s="27">
        <v>10</v>
      </c>
      <c r="Q16" s="27"/>
      <c r="R16" s="27"/>
      <c r="S16" s="27"/>
      <c r="T16" s="44">
        <v>13</v>
      </c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</row>
    <row r="17" spans="1:32" x14ac:dyDescent="0.25">
      <c r="A17" s="44" t="s">
        <v>13</v>
      </c>
      <c r="B17" s="27" t="s">
        <v>128</v>
      </c>
      <c r="C17" s="27" t="s">
        <v>94</v>
      </c>
      <c r="D17" s="27" t="s">
        <v>55</v>
      </c>
      <c r="E17" s="27"/>
      <c r="F17" s="27"/>
      <c r="G17" s="3"/>
      <c r="H17" s="44"/>
      <c r="I17" s="44"/>
      <c r="J17" s="44"/>
      <c r="K17" s="50" t="s">
        <v>33</v>
      </c>
      <c r="L17" s="27"/>
      <c r="M17" s="27"/>
      <c r="N17" s="27"/>
      <c r="O17" s="27"/>
      <c r="P17" s="27"/>
      <c r="Q17" s="27"/>
      <c r="R17" s="27"/>
      <c r="S17" s="27"/>
      <c r="T17" s="44">
        <v>14</v>
      </c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</row>
    <row r="18" spans="1:32" x14ac:dyDescent="0.25">
      <c r="A18" s="44" t="s">
        <v>56</v>
      </c>
      <c r="B18" s="27">
        <f>NS_Failures_yr</f>
        <v>60</v>
      </c>
      <c r="C18" s="28">
        <f>FAULTS_ANNUAL_VEG*B3/B6</f>
        <v>18.087655363822858</v>
      </c>
      <c r="D18" s="28">
        <f>FAULTS_ANN_VEH*B3/B6</f>
        <v>0.66697236635694468</v>
      </c>
      <c r="E18" s="27"/>
      <c r="F18" s="27"/>
      <c r="G18" s="3"/>
      <c r="H18" s="44"/>
      <c r="I18" s="44"/>
      <c r="J18" s="44"/>
      <c r="K18" s="50" t="s">
        <v>35</v>
      </c>
      <c r="L18" s="27"/>
      <c r="M18" s="27"/>
      <c r="N18" s="27"/>
      <c r="O18" s="27"/>
      <c r="P18" s="27"/>
      <c r="Q18" s="27"/>
      <c r="R18" s="27"/>
      <c r="S18" s="27"/>
      <c r="T18" s="44">
        <v>15</v>
      </c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</row>
    <row r="19" spans="1:32" x14ac:dyDescent="0.25">
      <c r="A19" s="44" t="s">
        <v>34</v>
      </c>
      <c r="B19" s="29">
        <f>POC_OUTAGE*COC_OUTAGE</f>
        <v>6.3000000000000007</v>
      </c>
      <c r="C19" s="29">
        <f>POC_OUTAGE*COC_OUTAGE</f>
        <v>6.3000000000000007</v>
      </c>
      <c r="D19" s="29">
        <f>POC_OUTAGE*COC_OUTAGE</f>
        <v>6.3000000000000007</v>
      </c>
      <c r="E19" s="29"/>
      <c r="F19" s="29"/>
      <c r="G19" s="31">
        <f>SUMPRODUCT(($B$23:$F$23)*(B19:F19))</f>
        <v>6.3000000000000007</v>
      </c>
      <c r="H19" s="44"/>
      <c r="I19" s="44"/>
      <c r="J19" s="44"/>
      <c r="K19" s="50" t="s">
        <v>37</v>
      </c>
      <c r="L19" s="27"/>
      <c r="M19" s="27"/>
      <c r="N19" s="27"/>
      <c r="O19" s="27"/>
      <c r="P19" s="27"/>
      <c r="Q19" s="27"/>
      <c r="R19" s="27"/>
      <c r="S19" s="27"/>
      <c r="T19" s="44">
        <v>16</v>
      </c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2" ht="15" customHeight="1" x14ac:dyDescent="0.25">
      <c r="A20" s="44" t="s">
        <v>36</v>
      </c>
      <c r="B20" s="29">
        <f>POC_SHOCK*PUBLIC_DF*VLTI</f>
        <v>50575.221238938058</v>
      </c>
      <c r="C20" s="29"/>
      <c r="D20" s="29"/>
      <c r="E20" s="29"/>
      <c r="F20" s="29"/>
      <c r="G20" s="31">
        <f>SUMPRODUCT(($B$23:$F$23)*(B20:F20))</f>
        <v>38531.237614795027</v>
      </c>
      <c r="H20" s="44"/>
      <c r="I20" s="44"/>
      <c r="J20" s="44"/>
      <c r="K20" s="50"/>
      <c r="L20" s="44"/>
      <c r="M20" s="44"/>
      <c r="N20" s="44"/>
      <c r="O20" s="44"/>
      <c r="P20" s="44"/>
      <c r="Q20" s="44"/>
      <c r="R20" s="44"/>
      <c r="S20" s="44"/>
      <c r="T20" s="44">
        <v>17</v>
      </c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2" x14ac:dyDescent="0.25">
      <c r="A21" s="44" t="s">
        <v>38</v>
      </c>
      <c r="B21" s="29"/>
      <c r="C21" s="29"/>
      <c r="D21" s="29"/>
      <c r="E21" s="29"/>
      <c r="F21" s="27"/>
      <c r="G21" s="31">
        <f>SUMPRODUCT(($B$23:$F$23)*(B21:F21))</f>
        <v>0</v>
      </c>
      <c r="H21" s="44"/>
      <c r="I21" s="44"/>
      <c r="J21" s="44"/>
      <c r="K21" s="50" t="s">
        <v>51</v>
      </c>
      <c r="L21" s="27">
        <f>M21*5</f>
        <v>393.773138650899</v>
      </c>
      <c r="M21" s="27">
        <f>SUM(B18:F18)</f>
        <v>78.754627730179806</v>
      </c>
      <c r="N21" s="28">
        <f>D18+C18+22.95</f>
        <v>41.704627730179801</v>
      </c>
      <c r="O21" s="28">
        <f>N21</f>
        <v>41.704627730179801</v>
      </c>
      <c r="P21" s="27">
        <f>M21*2</f>
        <v>157.50925546035961</v>
      </c>
      <c r="Q21" s="27"/>
      <c r="R21" s="27"/>
      <c r="S21" s="27"/>
      <c r="T21" s="44">
        <v>18</v>
      </c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2" x14ac:dyDescent="0.25">
      <c r="A22" s="44" t="s">
        <v>39</v>
      </c>
      <c r="B22" s="29">
        <f>POC_FIRE*CoC_Fire</f>
        <v>17.218995558592415</v>
      </c>
      <c r="C22" s="29">
        <f>POC_FIRE*CoC_Fire</f>
        <v>17.218995558592415</v>
      </c>
      <c r="D22" s="29">
        <f>POC_FIRE*CoC_Fire</f>
        <v>17.218995558592415</v>
      </c>
      <c r="E22" s="29"/>
      <c r="F22" s="27"/>
      <c r="G22" s="31">
        <f>SUMPRODUCT(($B$23:$F$23)*(B22:F22))</f>
        <v>17.218995558592415</v>
      </c>
      <c r="H22" s="44"/>
      <c r="I22" s="44"/>
      <c r="J22" s="44"/>
      <c r="K22" s="50"/>
      <c r="L22" s="44"/>
      <c r="M22" s="44"/>
      <c r="N22" s="44"/>
      <c r="O22" s="44"/>
      <c r="P22" s="44"/>
      <c r="Q22" s="44"/>
      <c r="R22" s="44"/>
      <c r="S22" s="44"/>
      <c r="T22" s="44">
        <v>19</v>
      </c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2" x14ac:dyDescent="0.25">
      <c r="A23" s="44" t="s">
        <v>86</v>
      </c>
      <c r="B23" s="30">
        <f>B18/SUM($B$18:$F$18)</f>
        <v>0.7618599913336549</v>
      </c>
      <c r="C23" s="30">
        <f>C18/SUM($B$18:$F$18)</f>
        <v>0.22967101597880363</v>
      </c>
      <c r="D23" s="30">
        <f>D18/SUM($B$18:$F$18)</f>
        <v>8.4689926875414854E-3</v>
      </c>
      <c r="E23" s="30">
        <f>E18/SUM($B$18:$F$18)</f>
        <v>0</v>
      </c>
      <c r="F23" s="30">
        <f>F18/SUM($B$18:$F$18)</f>
        <v>0</v>
      </c>
      <c r="G23" s="31"/>
      <c r="H23" s="44"/>
      <c r="I23" s="44"/>
      <c r="J23" s="44"/>
      <c r="K23" s="50"/>
      <c r="L23" s="44"/>
      <c r="M23" s="44"/>
      <c r="N23" s="44"/>
      <c r="O23" s="44"/>
      <c r="P23" s="44"/>
      <c r="Q23" s="44"/>
      <c r="R23" s="44"/>
      <c r="S23" s="44"/>
      <c r="T23" s="44">
        <v>20</v>
      </c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2" x14ac:dyDescent="0.25">
      <c r="A24" s="48" t="s">
        <v>40</v>
      </c>
      <c r="B24" s="33">
        <f>SUM(B19:B22)</f>
        <v>50598.740234496654</v>
      </c>
      <c r="C24" s="33">
        <f>SUM(C19:C22)</f>
        <v>23.518995558592415</v>
      </c>
      <c r="D24" s="33">
        <f>SUM(D19:D22)</f>
        <v>23.518995558592415</v>
      </c>
      <c r="E24" s="33">
        <f>SUM(E19:E22)</f>
        <v>0</v>
      </c>
      <c r="F24" s="3"/>
      <c r="G24" s="31">
        <f>SUM(G19:G23)</f>
        <v>38554.756610353623</v>
      </c>
      <c r="H24" s="44"/>
      <c r="I24" s="44"/>
      <c r="J24" s="44"/>
      <c r="K24" s="50"/>
      <c r="L24" s="44"/>
      <c r="M24" s="44"/>
      <c r="N24" s="44"/>
      <c r="O24" s="44"/>
      <c r="P24" s="44"/>
      <c r="Q24" s="44"/>
      <c r="R24" s="44"/>
      <c r="S24" s="44"/>
      <c r="T24" s="44">
        <v>21</v>
      </c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2" ht="15" customHeight="1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50"/>
      <c r="L25" s="44" t="s">
        <v>58</v>
      </c>
      <c r="M25" s="44"/>
      <c r="N25" s="44"/>
      <c r="O25" s="44"/>
      <c r="P25" s="44"/>
      <c r="Q25" s="44"/>
      <c r="R25" s="44"/>
      <c r="S25" s="44"/>
      <c r="T25" s="44">
        <v>22</v>
      </c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2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52" t="s">
        <v>41</v>
      </c>
      <c r="L26" s="31">
        <f>L7</f>
        <v>642</v>
      </c>
      <c r="M26" s="31">
        <f t="shared" ref="M26:P26" si="3">M7</f>
        <v>642</v>
      </c>
      <c r="N26" s="31">
        <f t="shared" si="3"/>
        <v>642</v>
      </c>
      <c r="O26" s="31">
        <f t="shared" si="3"/>
        <v>642</v>
      </c>
      <c r="P26" s="31">
        <f t="shared" si="3"/>
        <v>642</v>
      </c>
      <c r="Q26" s="31"/>
      <c r="R26" s="31"/>
      <c r="S26" s="31"/>
      <c r="T26" s="44">
        <v>23</v>
      </c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2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52" t="s">
        <v>42</v>
      </c>
      <c r="L27" s="54">
        <v>10</v>
      </c>
      <c r="M27" s="54">
        <v>10</v>
      </c>
      <c r="N27" s="56">
        <v>2.5</v>
      </c>
      <c r="O27" s="54">
        <v>5</v>
      </c>
      <c r="P27" s="54">
        <v>10</v>
      </c>
      <c r="Q27" s="54"/>
      <c r="R27" s="54"/>
      <c r="S27" s="54"/>
      <c r="T27" s="44">
        <v>24</v>
      </c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2" x14ac:dyDescent="0.2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52" t="s">
        <v>43</v>
      </c>
      <c r="L28" s="31">
        <f>(IFERROR(L10/L15,0)+IFERROR(L11/L16,0)+IFERROR(L12/L17,0)+IFERROR(L13/L18,0)+IFERROR(L14/L19,0))</f>
        <v>0</v>
      </c>
      <c r="M28" s="31">
        <f>(IFERROR(M10/M15,0)+IFERROR(M11/M16,0)+IFERROR(M12/M17,0)+IFERROR(M13/M18,0)+IFERROR(M14/M19,0))</f>
        <v>2.7425211448380269</v>
      </c>
      <c r="N28" s="31">
        <f>(IFERROR(N10/N15,0)+IFERROR(N11/N16,0)+IFERROR(N12/N17,0)+IFERROR(N13/N18,0)+IFERROR(N14/N19,0))</f>
        <v>2.7425211448380269</v>
      </c>
      <c r="O28" s="31">
        <f t="shared" ref="O28:P28" si="4">(IFERROR(O10/O15,0)+IFERROR(O11/O16,0)+IFERROR(O12/O17,0)+IFERROR(O13/O18,0)+IFERROR(O14/O19,0))</f>
        <v>2.7425211448380269</v>
      </c>
      <c r="P28" s="31">
        <f t="shared" si="4"/>
        <v>10</v>
      </c>
      <c r="Q28" s="31"/>
      <c r="R28" s="31"/>
      <c r="S28" s="31"/>
      <c r="T28" s="44">
        <v>25</v>
      </c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2" x14ac:dyDescent="0.2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52" t="s">
        <v>44</v>
      </c>
      <c r="L29" s="36">
        <f>L21/$B$3</f>
        <v>2.7201791838277079E-2</v>
      </c>
      <c r="M29" s="36">
        <f>M21/$B$3</f>
        <v>5.4403583676554158E-3</v>
      </c>
      <c r="N29" s="36">
        <f>N21/$B$3</f>
        <v>2.880949691225463E-3</v>
      </c>
      <c r="O29" s="36">
        <f>O21/$B$3</f>
        <v>2.880949691225463E-3</v>
      </c>
      <c r="P29" s="36">
        <f t="shared" ref="P29" si="5">P21/$B$3</f>
        <v>1.0880716735310832E-2</v>
      </c>
      <c r="Q29" s="36"/>
      <c r="R29" s="36"/>
      <c r="S29" s="36"/>
      <c r="T29" s="44">
        <v>26</v>
      </c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2" ht="15" customHeight="1" x14ac:dyDescent="0.2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52" t="s">
        <v>45</v>
      </c>
      <c r="L30" s="31">
        <f>L29*$G$24</f>
        <v>1048.7584636902764</v>
      </c>
      <c r="M30" s="32">
        <f>M29*$G$24</f>
        <v>209.75169273805528</v>
      </c>
      <c r="N30" s="32">
        <f>N29*$G$24</f>
        <v>111.07431415187115</v>
      </c>
      <c r="O30" s="32">
        <f>O29*$G$24</f>
        <v>111.07431415187115</v>
      </c>
      <c r="P30" s="31">
        <f t="shared" ref="P30" si="6">P29*$G$24</f>
        <v>419.50338547611057</v>
      </c>
      <c r="Q30" s="31"/>
      <c r="R30" s="31"/>
      <c r="S30" s="31"/>
      <c r="T30" s="44">
        <v>27</v>
      </c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2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52" t="s">
        <v>46</v>
      </c>
      <c r="L31" s="31">
        <f t="shared" ref="L31:P31" si="7">L26/L27</f>
        <v>64.2</v>
      </c>
      <c r="M31" s="31">
        <f>M26/M27</f>
        <v>64.2</v>
      </c>
      <c r="N31" s="31">
        <f>N26/N27</f>
        <v>256.8</v>
      </c>
      <c r="O31" s="31">
        <f>O26/O27</f>
        <v>128.4</v>
      </c>
      <c r="P31" s="31">
        <f t="shared" si="7"/>
        <v>64.2</v>
      </c>
      <c r="Q31" s="31"/>
      <c r="R31" s="31"/>
      <c r="S31" s="31"/>
      <c r="T31" s="44">
        <v>28</v>
      </c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2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50"/>
      <c r="L32" s="38"/>
      <c r="M32" s="38"/>
      <c r="N32" s="38"/>
      <c r="O32" s="38"/>
      <c r="P32" s="38"/>
      <c r="Q32" s="38"/>
      <c r="R32" s="38"/>
      <c r="S32" s="38"/>
      <c r="T32" s="44">
        <v>29</v>
      </c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2" x14ac:dyDescent="0.2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50"/>
      <c r="L33" s="44"/>
      <c r="M33" s="44"/>
      <c r="N33" s="44"/>
      <c r="O33" s="44"/>
      <c r="P33" s="44"/>
      <c r="Q33" s="44"/>
      <c r="R33" s="44"/>
      <c r="S33" s="44"/>
      <c r="T33" s="44">
        <v>30</v>
      </c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2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50" t="s">
        <v>40</v>
      </c>
      <c r="L34" s="31">
        <f t="shared" ref="L34:P34" si="8">L31+L30+L28</f>
        <v>1112.9584636902764</v>
      </c>
      <c r="M34" s="31">
        <f t="shared" si="8"/>
        <v>276.69421388289328</v>
      </c>
      <c r="N34" s="31">
        <f>N31+N30+N28</f>
        <v>370.61683529670916</v>
      </c>
      <c r="O34" s="31">
        <f t="shared" si="8"/>
        <v>242.21683529670921</v>
      </c>
      <c r="P34" s="31">
        <f t="shared" si="8"/>
        <v>493.70338547611055</v>
      </c>
      <c r="Q34" s="31"/>
      <c r="R34" s="31"/>
      <c r="S34" s="31"/>
      <c r="T34" s="44">
        <v>31</v>
      </c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2" ht="15" customHeight="1" x14ac:dyDescent="0.2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50" t="s">
        <v>47</v>
      </c>
      <c r="L35" s="40">
        <f>(L30+L28)/L26</f>
        <v>1.6335801615113339</v>
      </c>
      <c r="M35" s="40">
        <f t="shared" ref="M35:P35" si="9">(M30+M28)/M26</f>
        <v>0.33098787209173414</v>
      </c>
      <c r="N35" s="40">
        <f t="shared" si="9"/>
        <v>0.17728479018179</v>
      </c>
      <c r="O35" s="40">
        <f t="shared" si="9"/>
        <v>0.17728479018179</v>
      </c>
      <c r="P35" s="40">
        <f t="shared" si="9"/>
        <v>0.66900838859207257</v>
      </c>
      <c r="Q35" s="40"/>
      <c r="R35" s="40"/>
      <c r="S35" s="40"/>
      <c r="T35" s="44">
        <v>32</v>
      </c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2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50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2" x14ac:dyDescent="0.25"/>
    <row r="38" spans="1:32" x14ac:dyDescent="0.25"/>
    <row r="39" spans="1:32" x14ac:dyDescent="0.25"/>
    <row r="40" spans="1:32" ht="15" customHeight="1" x14ac:dyDescent="0.25"/>
    <row r="41" spans="1:32" x14ac:dyDescent="0.25"/>
    <row r="42" spans="1:32" x14ac:dyDescent="0.25"/>
    <row r="43" spans="1:32" x14ac:dyDescent="0.25"/>
    <row r="44" spans="1:32" x14ac:dyDescent="0.25"/>
    <row r="45" spans="1:32" x14ac:dyDescent="0.25"/>
    <row r="46" spans="1:32" ht="15" customHeight="1" x14ac:dyDescent="0.25"/>
    <row r="47" spans="1:32" x14ac:dyDescent="0.25"/>
    <row r="48" spans="1:32" x14ac:dyDescent="0.25"/>
    <row r="49" x14ac:dyDescent="0.25"/>
    <row r="50" x14ac:dyDescent="0.25"/>
    <row r="51" hidden="1" x14ac:dyDescent="0.25"/>
    <row r="52" ht="15" hidden="1" customHeight="1" x14ac:dyDescent="0.25"/>
    <row r="53" ht="15" hidden="1" customHeight="1" x14ac:dyDescent="0.25"/>
    <row r="54" hidden="1" x14ac:dyDescent="0.25"/>
    <row r="55" hidden="1" x14ac:dyDescent="0.25"/>
    <row r="56" hidden="1" x14ac:dyDescent="0.25"/>
    <row r="57" hidden="1" x14ac:dyDescent="0.25"/>
    <row r="58" ht="15" hidden="1" customHeight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t="15.75" hidden="1" customHeight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t="15" hidden="1" customHeight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t="15" hidden="1" customHeight="1" x14ac:dyDescent="0.25"/>
    <row r="90" hidden="1" x14ac:dyDescent="0.25"/>
    <row r="91" ht="15" hidden="1" customHeight="1" x14ac:dyDescent="0.25"/>
    <row r="92" hidden="1" x14ac:dyDescent="0.25"/>
    <row r="93" hidden="1" x14ac:dyDescent="0.25"/>
    <row r="94" ht="15" hidden="1" customHeight="1" x14ac:dyDescent="0.25"/>
    <row r="95" hidden="1" x14ac:dyDescent="0.25"/>
    <row r="96" hidden="1" x14ac:dyDescent="0.25"/>
    <row r="97" hidden="1" x14ac:dyDescent="0.25"/>
    <row r="98" hidden="1" x14ac:dyDescent="0.25"/>
    <row r="99" ht="15" hidden="1" customHeight="1" x14ac:dyDescent="0.25"/>
    <row r="100" hidden="1" x14ac:dyDescent="0.25"/>
    <row r="101" hidden="1" x14ac:dyDescent="0.25"/>
    <row r="102" hidden="1" x14ac:dyDescent="0.25"/>
    <row r="103" hidden="1" x14ac:dyDescent="0.25"/>
    <row r="104" ht="15" hidden="1" customHeight="1" x14ac:dyDescent="0.25"/>
    <row r="105" hidden="1" x14ac:dyDescent="0.25"/>
    <row r="106" hidden="1" x14ac:dyDescent="0.25"/>
    <row r="107" hidden="1" x14ac:dyDescent="0.25"/>
    <row r="108" hidden="1" x14ac:dyDescent="0.25"/>
    <row r="109" ht="15" hidden="1" customHeight="1" x14ac:dyDescent="0.25"/>
    <row r="110" hidden="1" x14ac:dyDescent="0.25"/>
    <row r="111" hidden="1" x14ac:dyDescent="0.25"/>
    <row r="112" hidden="1" x14ac:dyDescent="0.25"/>
    <row r="113" hidden="1" x14ac:dyDescent="0.25"/>
    <row r="114" ht="15" hidden="1" customHeight="1" x14ac:dyDescent="0.25"/>
  </sheetData>
  <mergeCells count="9">
    <mergeCell ref="Q5:Q6"/>
    <mergeCell ref="R5:R6"/>
    <mergeCell ref="S5:S6"/>
    <mergeCell ref="K5:K6"/>
    <mergeCell ref="L5:L6"/>
    <mergeCell ref="M5:M6"/>
    <mergeCell ref="N5:N6"/>
    <mergeCell ref="O5:O6"/>
    <mergeCell ref="P5:P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4"/>
  <sheetViews>
    <sheetView showGridLines="0" zoomScale="60" zoomScaleNormal="60" workbookViewId="0">
      <selection activeCell="B30" sqref="B30"/>
    </sheetView>
  </sheetViews>
  <sheetFormatPr defaultColWidth="0" defaultRowHeight="15" zeroHeight="1" x14ac:dyDescent="0.25"/>
  <cols>
    <col min="1" max="1" width="34.7109375" customWidth="1"/>
    <col min="2" max="3" width="13.7109375" customWidth="1"/>
    <col min="4" max="4" width="14.140625" customWidth="1"/>
    <col min="5" max="5" width="14.42578125" customWidth="1"/>
    <col min="6" max="6" width="13.42578125" customWidth="1"/>
    <col min="7" max="7" width="24.140625" bestFit="1" customWidth="1"/>
    <col min="8" max="10" width="3.7109375" customWidth="1"/>
    <col min="11" max="11" width="26.85546875" bestFit="1" customWidth="1"/>
    <col min="12" max="12" width="18.85546875" customWidth="1"/>
    <col min="13" max="13" width="16.85546875" customWidth="1"/>
    <col min="14" max="14" width="17" customWidth="1"/>
    <col min="15" max="15" width="18.85546875" customWidth="1"/>
    <col min="16" max="16" width="15.85546875" customWidth="1"/>
    <col min="17" max="17" width="17.85546875" customWidth="1"/>
    <col min="18" max="18" width="16.5703125" customWidth="1"/>
    <col min="19" max="19" width="14" customWidth="1"/>
    <col min="20" max="23" width="5.42578125" customWidth="1"/>
    <col min="24" max="24" width="9.140625" customWidth="1"/>
    <col min="25" max="25" width="26.5703125" customWidth="1"/>
    <col min="26" max="26" width="14.42578125" customWidth="1"/>
    <col min="27" max="27" width="14.5703125" customWidth="1"/>
    <col min="28" max="28" width="14.85546875" customWidth="1"/>
    <col min="29" max="29" width="9.5703125" customWidth="1"/>
    <col min="30" max="32" width="9.140625" customWidth="1"/>
    <col min="33" max="16384" width="9.140625" hidden="1"/>
  </cols>
  <sheetData>
    <row r="1" spans="1:32" ht="35.25" customHeight="1" x14ac:dyDescent="0.25">
      <c r="A1" s="57" t="s">
        <v>49</v>
      </c>
      <c r="B1" s="58"/>
      <c r="C1" s="57"/>
      <c r="D1" s="58"/>
      <c r="E1" s="58"/>
      <c r="F1" s="57"/>
      <c r="G1" s="58"/>
      <c r="H1" s="58"/>
      <c r="I1" s="58"/>
      <c r="J1" s="58"/>
      <c r="K1" s="61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7"/>
      <c r="Y1" s="58"/>
      <c r="Z1" s="58"/>
      <c r="AA1" s="58"/>
      <c r="AB1" s="58"/>
      <c r="AC1" s="58"/>
      <c r="AD1" s="58"/>
      <c r="AE1" s="58"/>
      <c r="AF1" s="59"/>
    </row>
    <row r="2" spans="1:32" ht="17.25" customHeight="1" x14ac:dyDescent="0.25">
      <c r="A2" s="42" t="s">
        <v>0</v>
      </c>
      <c r="B2" s="43"/>
      <c r="C2" s="43"/>
      <c r="D2" s="43"/>
      <c r="E2" s="43"/>
      <c r="F2" s="43"/>
      <c r="G2" s="43"/>
      <c r="H2" s="44"/>
      <c r="I2" s="44"/>
      <c r="J2" s="44"/>
      <c r="K2" s="50"/>
      <c r="L2" s="42" t="s">
        <v>96</v>
      </c>
      <c r="M2" s="43"/>
      <c r="N2" s="43"/>
      <c r="O2" s="43"/>
      <c r="P2" s="43"/>
      <c r="Q2" s="43"/>
      <c r="R2" s="43"/>
      <c r="S2" s="43"/>
      <c r="T2" s="44"/>
      <c r="U2" s="44"/>
      <c r="V2" s="44"/>
      <c r="W2" s="44"/>
      <c r="X2" s="42" t="s">
        <v>87</v>
      </c>
      <c r="Y2" s="43"/>
      <c r="Z2" s="42" t="s">
        <v>88</v>
      </c>
      <c r="AA2" s="43"/>
      <c r="AB2" s="43"/>
      <c r="AC2" s="43"/>
      <c r="AD2" s="43"/>
      <c r="AE2" s="43"/>
      <c r="AF2" s="44"/>
    </row>
    <row r="3" spans="1:32" ht="15" customHeight="1" x14ac:dyDescent="0.25">
      <c r="A3" s="44" t="s">
        <v>53</v>
      </c>
      <c r="B3" s="26">
        <f>NUM_PVC_TWIST</f>
        <v>39211</v>
      </c>
      <c r="C3" s="44" t="s">
        <v>108</v>
      </c>
      <c r="D3" s="44"/>
      <c r="E3" s="44"/>
      <c r="F3" s="44"/>
      <c r="G3" s="44"/>
      <c r="H3" s="44"/>
      <c r="I3" s="44"/>
      <c r="J3" s="44"/>
      <c r="K3" s="50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>
        <v>28</v>
      </c>
      <c r="AA3" s="44">
        <v>25</v>
      </c>
      <c r="AB3" s="44">
        <v>27</v>
      </c>
      <c r="AC3" s="44">
        <v>18</v>
      </c>
      <c r="AD3" s="44"/>
      <c r="AE3" s="44"/>
      <c r="AF3" s="44"/>
    </row>
    <row r="4" spans="1:32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50" t="s">
        <v>1</v>
      </c>
      <c r="L4" s="44" t="s">
        <v>2</v>
      </c>
      <c r="M4" s="44" t="s">
        <v>3</v>
      </c>
      <c r="N4" s="44" t="s">
        <v>4</v>
      </c>
      <c r="O4" s="44" t="s">
        <v>5</v>
      </c>
      <c r="P4" s="44" t="s">
        <v>6</v>
      </c>
      <c r="Q4" s="44" t="s">
        <v>7</v>
      </c>
      <c r="R4" s="44" t="s">
        <v>8</v>
      </c>
      <c r="S4" s="44" t="s">
        <v>9</v>
      </c>
      <c r="T4" s="44">
        <v>1</v>
      </c>
      <c r="U4" s="44"/>
      <c r="V4" s="44"/>
      <c r="W4" s="44"/>
      <c r="X4" s="3"/>
      <c r="Y4" s="3"/>
      <c r="Z4" s="3" t="s">
        <v>158</v>
      </c>
      <c r="AA4" s="3" t="s">
        <v>159</v>
      </c>
      <c r="AB4" s="3" t="s">
        <v>160</v>
      </c>
      <c r="AC4" s="3" t="s">
        <v>11</v>
      </c>
      <c r="AD4" s="3" t="s">
        <v>40</v>
      </c>
      <c r="AE4" s="3"/>
      <c r="AF4" s="44"/>
    </row>
    <row r="5" spans="1:32" ht="15" customHeight="1" x14ac:dyDescent="0.25">
      <c r="A5" s="44" t="s">
        <v>12</v>
      </c>
      <c r="B5" s="25">
        <f>COST_REPL_SERVICE</f>
        <v>642</v>
      </c>
      <c r="C5" s="44"/>
      <c r="D5" s="44"/>
      <c r="E5" s="44"/>
      <c r="F5" s="44"/>
      <c r="G5" s="44"/>
      <c r="H5" s="45"/>
      <c r="I5" s="44"/>
      <c r="J5" s="44"/>
      <c r="K5" s="51" t="s">
        <v>13</v>
      </c>
      <c r="L5" s="34" t="s">
        <v>161</v>
      </c>
      <c r="M5" s="34" t="s">
        <v>165</v>
      </c>
      <c r="N5" s="34" t="s">
        <v>162</v>
      </c>
      <c r="O5" s="34" t="s">
        <v>163</v>
      </c>
      <c r="P5" s="34" t="s">
        <v>164</v>
      </c>
      <c r="Q5" s="34"/>
      <c r="R5" s="34"/>
      <c r="S5" s="34"/>
      <c r="T5" s="44">
        <v>2</v>
      </c>
      <c r="U5" s="44"/>
      <c r="V5" s="44"/>
      <c r="W5" s="44"/>
      <c r="X5" s="3" t="s">
        <v>2</v>
      </c>
      <c r="Y5" s="3" t="str">
        <f>HLOOKUP(X5,$L$4:$S$6,2,FALSE)</f>
        <v>No maintenance</v>
      </c>
      <c r="Z5" s="31">
        <f>HLOOKUP($X5,$L$4:$S$35,Z$3,FALSE)</f>
        <v>64.2</v>
      </c>
      <c r="AA5" s="31">
        <f>HLOOKUP($X5,$L$4:$S$35,AA$3,FALSE)</f>
        <v>0</v>
      </c>
      <c r="AB5" s="31">
        <f>HLOOKUP($X5,$L$4:$S$35,AB$3,FALSE)</f>
        <v>728.99190865629134</v>
      </c>
      <c r="AC5" s="24">
        <f>HLOOKUP($X5,$L$4:$S$35,AC$3,FALSE)</f>
        <v>404.00238599339605</v>
      </c>
      <c r="AD5" s="33">
        <f t="shared" ref="AD5:AD11" si="0">Z5+AA5+AB5</f>
        <v>793.19190865629139</v>
      </c>
      <c r="AE5" s="3"/>
      <c r="AF5" s="44"/>
    </row>
    <row r="6" spans="1:32" x14ac:dyDescent="0.25">
      <c r="A6" s="44" t="s">
        <v>52</v>
      </c>
      <c r="B6" s="26">
        <f>NUM_ABC+NUM_NEUTRAL_SCREEN+NUM_OTHER_OVERHEAD+NUM_PVC_TWIST</f>
        <v>364628</v>
      </c>
      <c r="C6" s="44"/>
      <c r="D6" s="44"/>
      <c r="E6" s="44"/>
      <c r="F6" s="44"/>
      <c r="G6" s="44"/>
      <c r="H6" s="44"/>
      <c r="I6" s="44"/>
      <c r="J6" s="44"/>
      <c r="K6" s="51"/>
      <c r="L6" s="34"/>
      <c r="M6" s="34"/>
      <c r="N6" s="34"/>
      <c r="O6" s="34"/>
      <c r="P6" s="34"/>
      <c r="Q6" s="34"/>
      <c r="R6" s="34"/>
      <c r="S6" s="34"/>
      <c r="T6" s="44">
        <v>3</v>
      </c>
      <c r="U6" s="44"/>
      <c r="V6" s="44"/>
      <c r="W6" s="44"/>
      <c r="X6" s="3" t="s">
        <v>3</v>
      </c>
      <c r="Y6" s="3" t="str">
        <f t="shared" ref="Y6:Y12" si="1">HLOOKUP(X6,$L$4:$S$6,2,FALSE)</f>
        <v>Condition monitoring (AMI)</v>
      </c>
      <c r="Z6" s="31">
        <f t="shared" ref="Z6:AC12" si="2">HLOOKUP($X6,$L$4:$S$35,Z$3,FALSE)</f>
        <v>64.2</v>
      </c>
      <c r="AA6" s="31">
        <f t="shared" si="2"/>
        <v>2.7425211448380269</v>
      </c>
      <c r="AB6" s="31">
        <f t="shared" si="2"/>
        <v>145.79838173125827</v>
      </c>
      <c r="AC6" s="24">
        <f t="shared" si="2"/>
        <v>80.800477198679204</v>
      </c>
      <c r="AD6" s="33">
        <f t="shared" si="0"/>
        <v>212.7409028760963</v>
      </c>
      <c r="AE6" s="3"/>
      <c r="AF6" s="44"/>
    </row>
    <row r="7" spans="1:32" x14ac:dyDescent="0.25">
      <c r="A7" s="44" t="s">
        <v>14</v>
      </c>
      <c r="B7" s="3">
        <f>SUM(B18:F18)</f>
        <v>80.800477198679204</v>
      </c>
      <c r="C7" s="44" t="s">
        <v>15</v>
      </c>
      <c r="D7" s="44"/>
      <c r="E7" s="44"/>
      <c r="F7" s="44"/>
      <c r="G7" s="44"/>
      <c r="H7" s="44"/>
      <c r="I7" s="44"/>
      <c r="J7" s="44"/>
      <c r="K7" s="50" t="s">
        <v>16</v>
      </c>
      <c r="L7" s="35">
        <f>B5</f>
        <v>642</v>
      </c>
      <c r="M7" s="35">
        <f>L7</f>
        <v>642</v>
      </c>
      <c r="N7" s="35">
        <f>COST_REPL_SERVICE</f>
        <v>642</v>
      </c>
      <c r="O7" s="35">
        <f>N7</f>
        <v>642</v>
      </c>
      <c r="P7" s="35">
        <f>N7</f>
        <v>642</v>
      </c>
      <c r="Q7" s="35"/>
      <c r="R7" s="35"/>
      <c r="S7" s="35"/>
      <c r="T7" s="44">
        <v>4</v>
      </c>
      <c r="U7" s="44"/>
      <c r="V7" s="44"/>
      <c r="W7" s="44"/>
      <c r="X7" s="3" t="s">
        <v>4</v>
      </c>
      <c r="Y7" s="3" t="str">
        <f t="shared" si="1"/>
        <v>Proactive replacement (5Y)</v>
      </c>
      <c r="Z7" s="31">
        <f t="shared" si="2"/>
        <v>256.8</v>
      </c>
      <c r="AA7" s="31">
        <f t="shared" si="2"/>
        <v>2.7425211448380269</v>
      </c>
      <c r="AB7" s="31">
        <f t="shared" si="2"/>
        <v>70.456285047725174</v>
      </c>
      <c r="AC7" s="24">
        <f t="shared" si="2"/>
        <v>65.300477198679204</v>
      </c>
      <c r="AD7" s="33">
        <f t="shared" si="0"/>
        <v>329.99880619256317</v>
      </c>
      <c r="AE7" s="3"/>
      <c r="AF7" s="44"/>
    </row>
    <row r="8" spans="1:32" x14ac:dyDescent="0.25">
      <c r="A8" s="44" t="s">
        <v>17</v>
      </c>
      <c r="B8" s="3">
        <f>B7/B3*1000</f>
        <v>2.0606584172471809</v>
      </c>
      <c r="C8" s="44" t="s">
        <v>107</v>
      </c>
      <c r="D8" s="44"/>
      <c r="E8" s="44"/>
      <c r="F8" s="44"/>
      <c r="G8" s="44"/>
      <c r="H8" s="44"/>
      <c r="I8" s="44"/>
      <c r="J8" s="44"/>
      <c r="K8" s="50" t="s">
        <v>57</v>
      </c>
      <c r="L8" s="27"/>
      <c r="M8" s="27"/>
      <c r="N8" s="27"/>
      <c r="O8" s="27"/>
      <c r="P8" s="27"/>
      <c r="Q8" s="27"/>
      <c r="R8" s="27"/>
      <c r="S8" s="27"/>
      <c r="T8" s="44">
        <v>5</v>
      </c>
      <c r="U8" s="44"/>
      <c r="V8" s="44"/>
      <c r="W8" s="44"/>
      <c r="X8" s="3" t="s">
        <v>5</v>
      </c>
      <c r="Y8" s="3" t="str">
        <f t="shared" si="1"/>
        <v>Proactive replacement (10Y)</v>
      </c>
      <c r="Z8" s="31">
        <f t="shared" si="2"/>
        <v>128.4</v>
      </c>
      <c r="AA8" s="31">
        <f t="shared" si="2"/>
        <v>2.7425211448380269</v>
      </c>
      <c r="AB8" s="31">
        <f t="shared" si="2"/>
        <v>70.456285047725174</v>
      </c>
      <c r="AC8" s="24">
        <f t="shared" si="2"/>
        <v>65.300477198679204</v>
      </c>
      <c r="AD8" s="33">
        <f t="shared" si="0"/>
        <v>201.59880619256322</v>
      </c>
      <c r="AE8" s="3"/>
      <c r="AF8" s="44"/>
    </row>
    <row r="9" spans="1:32" x14ac:dyDescent="0.25">
      <c r="A9" s="44" t="s">
        <v>18</v>
      </c>
      <c r="B9" s="26" t="s">
        <v>3</v>
      </c>
      <c r="C9" s="44"/>
      <c r="D9" s="44"/>
      <c r="E9" s="45"/>
      <c r="F9" s="44"/>
      <c r="G9" s="44"/>
      <c r="H9" s="44"/>
      <c r="I9" s="44"/>
      <c r="J9" s="44"/>
      <c r="K9" s="50"/>
      <c r="L9" s="44"/>
      <c r="M9" s="44"/>
      <c r="N9" s="44"/>
      <c r="O9" s="44"/>
      <c r="P9" s="44"/>
      <c r="Q9" s="44"/>
      <c r="R9" s="44"/>
      <c r="S9" s="44"/>
      <c r="T9" s="44">
        <v>6</v>
      </c>
      <c r="U9" s="44"/>
      <c r="V9" s="44"/>
      <c r="W9" s="44"/>
      <c r="X9" s="3" t="s">
        <v>6</v>
      </c>
      <c r="Y9" s="3" t="str">
        <f t="shared" si="1"/>
        <v>Inspect and maintain</v>
      </c>
      <c r="Z9" s="31">
        <f t="shared" si="2"/>
        <v>64.2</v>
      </c>
      <c r="AA9" s="31">
        <f t="shared" si="2"/>
        <v>10</v>
      </c>
      <c r="AB9" s="31">
        <f t="shared" si="2"/>
        <v>291.59676346251655</v>
      </c>
      <c r="AC9" s="24">
        <f t="shared" si="2"/>
        <v>161.60095439735841</v>
      </c>
      <c r="AD9" s="33">
        <f t="shared" si="0"/>
        <v>365.79676346251654</v>
      </c>
      <c r="AE9" s="3"/>
      <c r="AF9" s="44"/>
    </row>
    <row r="10" spans="1:32" ht="15" customHeight="1" x14ac:dyDescent="0.25">
      <c r="A10" s="44" t="s">
        <v>19</v>
      </c>
      <c r="B10" s="24">
        <f>B3/B11</f>
        <v>42.198504761904758</v>
      </c>
      <c r="C10" s="44" t="s">
        <v>20</v>
      </c>
      <c r="D10" s="44"/>
      <c r="E10" s="44"/>
      <c r="F10" s="44"/>
      <c r="G10" s="46"/>
      <c r="H10" s="44"/>
      <c r="I10" s="44"/>
      <c r="J10" s="44"/>
      <c r="K10" s="50" t="s">
        <v>110</v>
      </c>
      <c r="L10" s="27"/>
      <c r="M10" s="27">
        <f>1000000/B6</f>
        <v>2.7425211448380269</v>
      </c>
      <c r="N10" s="27">
        <f>M10</f>
        <v>2.7425211448380269</v>
      </c>
      <c r="O10" s="27">
        <f>N10</f>
        <v>2.7425211448380269</v>
      </c>
      <c r="P10" s="27"/>
      <c r="Q10" s="27"/>
      <c r="R10" s="27"/>
      <c r="S10" s="27"/>
      <c r="T10" s="44">
        <v>7</v>
      </c>
      <c r="U10" s="44"/>
      <c r="V10" s="44"/>
      <c r="W10" s="44"/>
      <c r="X10" s="3" t="s">
        <v>7</v>
      </c>
      <c r="Y10" s="3">
        <f t="shared" si="1"/>
        <v>0</v>
      </c>
      <c r="Z10" s="31">
        <f>HLOOKUP($X10,$L$4:$S$35,Z$3,FALSE)</f>
        <v>0</v>
      </c>
      <c r="AA10" s="31">
        <f t="shared" si="2"/>
        <v>0</v>
      </c>
      <c r="AB10" s="31">
        <f t="shared" si="2"/>
        <v>0</v>
      </c>
      <c r="AC10" s="24">
        <f t="shared" si="2"/>
        <v>0</v>
      </c>
      <c r="AD10" s="33">
        <f t="shared" si="0"/>
        <v>0</v>
      </c>
      <c r="AE10" s="3"/>
      <c r="AF10" s="44"/>
    </row>
    <row r="11" spans="1:32" x14ac:dyDescent="0.25">
      <c r="A11" s="44" t="s">
        <v>50</v>
      </c>
      <c r="B11" s="26">
        <f>NUM_REPL_ANNUAL*PVC_Failures_yr/FAULTS_ANNUAL_MECH</f>
        <v>929.2035398230089</v>
      </c>
      <c r="C11" s="44" t="s">
        <v>108</v>
      </c>
      <c r="D11" s="44"/>
      <c r="E11" s="44"/>
      <c r="F11" s="44"/>
      <c r="G11" s="44"/>
      <c r="H11" s="44"/>
      <c r="I11" s="44"/>
      <c r="J11" s="44"/>
      <c r="K11" s="50" t="s">
        <v>98</v>
      </c>
      <c r="L11" s="27"/>
      <c r="M11" s="27"/>
      <c r="N11" s="27"/>
      <c r="O11" s="27"/>
      <c r="P11" s="27">
        <f>COST_INSPECT_SERVICE</f>
        <v>100</v>
      </c>
      <c r="Q11" s="27"/>
      <c r="R11" s="27"/>
      <c r="S11" s="27"/>
      <c r="T11" s="44">
        <v>8</v>
      </c>
      <c r="U11" s="44"/>
      <c r="V11" s="44"/>
      <c r="W11" s="44"/>
      <c r="X11" s="3" t="s">
        <v>8</v>
      </c>
      <c r="Y11" s="3">
        <f t="shared" si="1"/>
        <v>0</v>
      </c>
      <c r="Z11" s="31">
        <f t="shared" si="2"/>
        <v>0</v>
      </c>
      <c r="AA11" s="31">
        <f t="shared" si="2"/>
        <v>0</v>
      </c>
      <c r="AB11" s="31">
        <f t="shared" si="2"/>
        <v>118.73201032120645</v>
      </c>
      <c r="AC11" s="24">
        <f t="shared" si="2"/>
        <v>65.800477198679204</v>
      </c>
      <c r="AD11" s="33">
        <f t="shared" si="0"/>
        <v>118.73201032120645</v>
      </c>
      <c r="AE11" s="3"/>
      <c r="AF11" s="44"/>
    </row>
    <row r="12" spans="1:32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50" t="s">
        <v>21</v>
      </c>
      <c r="L12" s="27"/>
      <c r="M12" s="27"/>
      <c r="N12" s="27"/>
      <c r="O12" s="27"/>
      <c r="P12" s="27"/>
      <c r="Q12" s="27"/>
      <c r="R12" s="27"/>
      <c r="S12" s="27"/>
      <c r="T12" s="44">
        <v>9</v>
      </c>
      <c r="U12" s="44"/>
      <c r="V12" s="44"/>
      <c r="W12" s="44"/>
      <c r="X12" s="3" t="s">
        <v>9</v>
      </c>
      <c r="Y12" s="3">
        <f t="shared" si="1"/>
        <v>0</v>
      </c>
      <c r="Z12" s="31">
        <f t="shared" si="2"/>
        <v>0</v>
      </c>
      <c r="AA12" s="31">
        <f t="shared" si="2"/>
        <v>0</v>
      </c>
      <c r="AB12" s="31">
        <f t="shared" si="2"/>
        <v>0</v>
      </c>
      <c r="AC12" s="3">
        <f t="shared" si="2"/>
        <v>0</v>
      </c>
      <c r="AD12" s="3"/>
      <c r="AE12" s="3"/>
      <c r="AF12" s="44"/>
    </row>
    <row r="13" spans="1:32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50" t="s">
        <v>22</v>
      </c>
      <c r="L13" s="27"/>
      <c r="M13" s="27"/>
      <c r="N13" s="27"/>
      <c r="O13" s="27"/>
      <c r="P13" s="27"/>
      <c r="Q13" s="27"/>
      <c r="R13" s="27"/>
      <c r="S13" s="27"/>
      <c r="T13" s="44">
        <v>10</v>
      </c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2" x14ac:dyDescent="0.25">
      <c r="A14" s="44"/>
      <c r="B14" s="44"/>
      <c r="C14" s="44"/>
      <c r="D14" s="47"/>
      <c r="E14" s="44"/>
      <c r="F14" s="44"/>
      <c r="G14" s="44"/>
      <c r="H14" s="44"/>
      <c r="I14" s="44"/>
      <c r="J14" s="44"/>
      <c r="K14" s="50" t="s">
        <v>23</v>
      </c>
      <c r="L14" s="27"/>
      <c r="M14" s="27"/>
      <c r="N14" s="27"/>
      <c r="O14" s="27"/>
      <c r="P14" s="27"/>
      <c r="Q14" s="27"/>
      <c r="R14" s="27"/>
      <c r="S14" s="27"/>
      <c r="T14" s="44">
        <v>11</v>
      </c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2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50" t="s">
        <v>24</v>
      </c>
      <c r="L15" s="27"/>
      <c r="M15" s="27">
        <v>1</v>
      </c>
      <c r="N15" s="27">
        <v>1</v>
      </c>
      <c r="O15" s="27">
        <v>1</v>
      </c>
      <c r="P15" s="27"/>
      <c r="Q15" s="27"/>
      <c r="R15" s="27">
        <v>1</v>
      </c>
      <c r="S15" s="27"/>
      <c r="T15" s="44">
        <v>12</v>
      </c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2" x14ac:dyDescent="0.25">
      <c r="A16" s="48" t="s">
        <v>25</v>
      </c>
      <c r="B16" s="48" t="s">
        <v>26</v>
      </c>
      <c r="C16" s="48" t="s">
        <v>27</v>
      </c>
      <c r="D16" s="48" t="s">
        <v>28</v>
      </c>
      <c r="E16" s="48" t="s">
        <v>29</v>
      </c>
      <c r="F16" s="48" t="s">
        <v>30</v>
      </c>
      <c r="G16" s="48" t="s">
        <v>31</v>
      </c>
      <c r="H16" s="44"/>
      <c r="I16" s="44"/>
      <c r="J16" s="44"/>
      <c r="K16" s="50" t="s">
        <v>32</v>
      </c>
      <c r="L16" s="27"/>
      <c r="M16" s="27"/>
      <c r="N16" s="27"/>
      <c r="O16" s="27"/>
      <c r="P16" s="27">
        <v>10</v>
      </c>
      <c r="Q16" s="27"/>
      <c r="R16" s="27">
        <v>1</v>
      </c>
      <c r="S16" s="27"/>
      <c r="T16" s="44">
        <v>13</v>
      </c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</row>
    <row r="17" spans="1:32" x14ac:dyDescent="0.25">
      <c r="A17" s="44" t="s">
        <v>13</v>
      </c>
      <c r="B17" s="27" t="s">
        <v>128</v>
      </c>
      <c r="C17" s="27" t="s">
        <v>94</v>
      </c>
      <c r="D17" s="27" t="s">
        <v>55</v>
      </c>
      <c r="E17" s="27"/>
      <c r="F17" s="27"/>
      <c r="G17" s="3"/>
      <c r="H17" s="44"/>
      <c r="I17" s="44"/>
      <c r="J17" s="44"/>
      <c r="K17" s="50" t="s">
        <v>33</v>
      </c>
      <c r="L17" s="27"/>
      <c r="M17" s="27"/>
      <c r="N17" s="27"/>
      <c r="O17" s="27"/>
      <c r="P17" s="27"/>
      <c r="Q17" s="27"/>
      <c r="R17" s="27"/>
      <c r="S17" s="27"/>
      <c r="T17" s="44">
        <v>14</v>
      </c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</row>
    <row r="18" spans="1:32" x14ac:dyDescent="0.25">
      <c r="A18" s="44" t="s">
        <v>56</v>
      </c>
      <c r="B18" s="27">
        <f>PVC_Failures_yr</f>
        <v>30</v>
      </c>
      <c r="C18" s="28">
        <f>FAULTS_ANNUAL_VEG*B3/B6</f>
        <v>48.993855655627108</v>
      </c>
      <c r="D18" s="28">
        <f>FAULTS_ANN_VEH*B3/B6</f>
        <v>1.8066215430520971</v>
      </c>
      <c r="E18" s="27"/>
      <c r="F18" s="27"/>
      <c r="G18" s="3"/>
      <c r="H18" s="44"/>
      <c r="I18" s="44"/>
      <c r="J18" s="44"/>
      <c r="K18" s="50" t="s">
        <v>35</v>
      </c>
      <c r="L18" s="27"/>
      <c r="M18" s="27"/>
      <c r="N18" s="27"/>
      <c r="O18" s="27"/>
      <c r="P18" s="27"/>
      <c r="Q18" s="27"/>
      <c r="R18" s="27"/>
      <c r="S18" s="27"/>
      <c r="T18" s="44">
        <v>15</v>
      </c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</row>
    <row r="19" spans="1:32" x14ac:dyDescent="0.25">
      <c r="A19" s="44" t="s">
        <v>34</v>
      </c>
      <c r="B19" s="29">
        <f>POC_OUTAGE*COC_OUTAGE</f>
        <v>6.3000000000000007</v>
      </c>
      <c r="C19" s="29">
        <f>POC_OUTAGE*COC_OUTAGE</f>
        <v>6.3000000000000007</v>
      </c>
      <c r="D19" s="29">
        <f>POC_OUTAGE*COC_OUTAGE</f>
        <v>6.3000000000000007</v>
      </c>
      <c r="E19" s="29"/>
      <c r="F19" s="29"/>
      <c r="G19" s="31">
        <f>SUMPRODUCT(($B$23:$F$23)*(B19:F19))</f>
        <v>6.3000000000000007</v>
      </c>
      <c r="H19" s="44"/>
      <c r="I19" s="44"/>
      <c r="J19" s="44"/>
      <c r="K19" s="50" t="s">
        <v>37</v>
      </c>
      <c r="L19" s="27"/>
      <c r="M19" s="27"/>
      <c r="N19" s="27"/>
      <c r="O19" s="27"/>
      <c r="P19" s="27"/>
      <c r="Q19" s="27"/>
      <c r="R19" s="27"/>
      <c r="S19" s="27"/>
      <c r="T19" s="44">
        <v>16</v>
      </c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2" ht="15" customHeight="1" x14ac:dyDescent="0.25">
      <c r="A20" s="44" t="s">
        <v>36</v>
      </c>
      <c r="B20" s="29">
        <f>PoC_Shock_PVC*PUBLIC_DF*VLTI</f>
        <v>190500</v>
      </c>
      <c r="C20" s="29"/>
      <c r="D20" s="29"/>
      <c r="E20" s="29"/>
      <c r="F20" s="29"/>
      <c r="G20" s="31">
        <f>SUMPRODUCT(($B$23:$F$23)*(B20:F20))</f>
        <v>70729.780295077508</v>
      </c>
      <c r="H20" s="44"/>
      <c r="I20" s="44"/>
      <c r="J20" s="44"/>
      <c r="K20" s="50"/>
      <c r="L20" s="44"/>
      <c r="M20" s="44"/>
      <c r="N20" s="44"/>
      <c r="O20" s="44"/>
      <c r="P20" s="44"/>
      <c r="Q20" s="44"/>
      <c r="R20" s="44"/>
      <c r="S20" s="44"/>
      <c r="T20" s="44">
        <v>17</v>
      </c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2" x14ac:dyDescent="0.25">
      <c r="A21" s="44" t="s">
        <v>38</v>
      </c>
      <c r="B21" s="29"/>
      <c r="C21" s="29"/>
      <c r="D21" s="29"/>
      <c r="E21" s="29"/>
      <c r="F21" s="27"/>
      <c r="G21" s="31">
        <f>SUMPRODUCT(($B$23:$F$23)*(B21:F21))</f>
        <v>0</v>
      </c>
      <c r="H21" s="44"/>
      <c r="I21" s="44"/>
      <c r="J21" s="44"/>
      <c r="K21" s="50" t="s">
        <v>51</v>
      </c>
      <c r="L21" s="27">
        <f>M21*5</f>
        <v>404.00238599339605</v>
      </c>
      <c r="M21" s="27">
        <f>SUM(B18:F18)</f>
        <v>80.800477198679204</v>
      </c>
      <c r="N21" s="28">
        <f>D18+C18+14.5</f>
        <v>65.300477198679204</v>
      </c>
      <c r="O21" s="28">
        <f>N21</f>
        <v>65.300477198679204</v>
      </c>
      <c r="P21" s="27">
        <f>M21*2</f>
        <v>161.60095439735841</v>
      </c>
      <c r="Q21" s="27"/>
      <c r="R21" s="27">
        <f>SUM(D18:F18)+0.5*B18+C18</f>
        <v>65.800477198679204</v>
      </c>
      <c r="S21" s="27"/>
      <c r="T21" s="44">
        <v>18</v>
      </c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2" x14ac:dyDescent="0.25">
      <c r="A22" s="44" t="s">
        <v>39</v>
      </c>
      <c r="B22" s="29">
        <f>POC_FIRE*CoC_Fire</f>
        <v>17.218995558592415</v>
      </c>
      <c r="C22" s="29">
        <f>POC_FIRE*CoC_Fire</f>
        <v>17.218995558592415</v>
      </c>
      <c r="D22" s="29">
        <f>POC_FIRE*CoC_Fire</f>
        <v>17.218995558592415</v>
      </c>
      <c r="E22" s="29"/>
      <c r="F22" s="27"/>
      <c r="G22" s="31">
        <f>SUMPRODUCT(($B$23:$F$23)*(B22:F22))</f>
        <v>17.218995558592415</v>
      </c>
      <c r="H22" s="44"/>
      <c r="I22" s="44"/>
      <c r="J22" s="44"/>
      <c r="K22" s="50"/>
      <c r="L22" s="44"/>
      <c r="M22" s="44"/>
      <c r="N22" s="44"/>
      <c r="O22" s="44"/>
      <c r="P22" s="44"/>
      <c r="Q22" s="44"/>
      <c r="R22" s="44"/>
      <c r="S22" s="44"/>
      <c r="T22" s="44">
        <v>19</v>
      </c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2" x14ac:dyDescent="0.25">
      <c r="A23" s="44" t="s">
        <v>86</v>
      </c>
      <c r="B23" s="30">
        <f>B18/SUM($B$18:$F$18)</f>
        <v>0.37128493593216538</v>
      </c>
      <c r="C23" s="30">
        <f>C18/SUM($B$18:$F$18)</f>
        <v>0.60635601860564237</v>
      </c>
      <c r="D23" s="30">
        <f>D18/SUM($B$18:$F$18)</f>
        <v>2.2359045462192258E-2</v>
      </c>
      <c r="E23" s="30">
        <f>E18/SUM($B$18:$F$18)</f>
        <v>0</v>
      </c>
      <c r="F23" s="30">
        <f>F18/SUM($B$18:$F$18)</f>
        <v>0</v>
      </c>
      <c r="G23" s="31"/>
      <c r="H23" s="44"/>
      <c r="I23" s="44"/>
      <c r="J23" s="44"/>
      <c r="K23" s="50"/>
      <c r="L23" s="44"/>
      <c r="M23" s="44"/>
      <c r="N23" s="44"/>
      <c r="O23" s="44"/>
      <c r="P23" s="44"/>
      <c r="Q23" s="44"/>
      <c r="R23" s="44"/>
      <c r="S23" s="44"/>
      <c r="T23" s="44">
        <v>20</v>
      </c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2" x14ac:dyDescent="0.25">
      <c r="A24" s="48" t="s">
        <v>40</v>
      </c>
      <c r="B24" s="33">
        <f>SUM(B19:B22)</f>
        <v>190523.51899555858</v>
      </c>
      <c r="C24" s="33">
        <f>SUM(C19:C22)</f>
        <v>23.518995558592415</v>
      </c>
      <c r="D24" s="33">
        <f>SUM(D19:D22)</f>
        <v>23.518995558592415</v>
      </c>
      <c r="E24" s="33">
        <f>SUM(E19:E22)</f>
        <v>0</v>
      </c>
      <c r="F24" s="3"/>
      <c r="G24" s="32">
        <f>SUM(G19:G23)</f>
        <v>70753.299290636103</v>
      </c>
      <c r="H24" s="44"/>
      <c r="I24" s="44"/>
      <c r="J24" s="44"/>
      <c r="K24" s="50"/>
      <c r="L24" s="44"/>
      <c r="M24" s="44"/>
      <c r="N24" s="44"/>
      <c r="O24" s="44"/>
      <c r="P24" s="44"/>
      <c r="Q24" s="44"/>
      <c r="R24" s="44"/>
      <c r="S24" s="44"/>
      <c r="T24" s="44">
        <v>21</v>
      </c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2" ht="15" customHeight="1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50"/>
      <c r="L25" s="44" t="s">
        <v>58</v>
      </c>
      <c r="M25" s="44"/>
      <c r="N25" s="44"/>
      <c r="O25" s="44"/>
      <c r="P25" s="44"/>
      <c r="Q25" s="44"/>
      <c r="R25" s="44"/>
      <c r="S25" s="44"/>
      <c r="T25" s="44">
        <v>22</v>
      </c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2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52" t="s">
        <v>41</v>
      </c>
      <c r="L26" s="31">
        <f>L7</f>
        <v>642</v>
      </c>
      <c r="M26" s="31">
        <f t="shared" ref="M26:R26" si="3">M7</f>
        <v>642</v>
      </c>
      <c r="N26" s="31">
        <f t="shared" si="3"/>
        <v>642</v>
      </c>
      <c r="O26" s="31">
        <f t="shared" si="3"/>
        <v>642</v>
      </c>
      <c r="P26" s="31">
        <f t="shared" si="3"/>
        <v>642</v>
      </c>
      <c r="Q26" s="31">
        <f t="shared" si="3"/>
        <v>0</v>
      </c>
      <c r="R26" s="31">
        <f t="shared" si="3"/>
        <v>0</v>
      </c>
      <c r="S26" s="31"/>
      <c r="T26" s="44">
        <v>23</v>
      </c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2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52" t="s">
        <v>157</v>
      </c>
      <c r="L27" s="54">
        <v>10</v>
      </c>
      <c r="M27" s="54">
        <v>10</v>
      </c>
      <c r="N27" s="56">
        <v>2.5</v>
      </c>
      <c r="O27" s="54">
        <v>5</v>
      </c>
      <c r="P27" s="54">
        <v>10</v>
      </c>
      <c r="Q27" s="54">
        <f>M27*1.05</f>
        <v>10.5</v>
      </c>
      <c r="R27" s="54">
        <f>L27</f>
        <v>10</v>
      </c>
      <c r="S27" s="54"/>
      <c r="T27" s="44">
        <v>24</v>
      </c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2" x14ac:dyDescent="0.2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52" t="s">
        <v>43</v>
      </c>
      <c r="L28" s="31">
        <f>(IFERROR(L10/L15,0)+IFERROR(L11/L16,0)+IFERROR(L12/L17,0)+IFERROR(L13/L18,0)+IFERROR(L14/L19,0))</f>
        <v>0</v>
      </c>
      <c r="M28" s="31">
        <f>(IFERROR(M10/M15,0)+IFERROR(M11/M16,0)+IFERROR(M12/M17,0)+IFERROR(M13/M18,0)+IFERROR(M14/M19,0))</f>
        <v>2.7425211448380269</v>
      </c>
      <c r="N28" s="31">
        <f>(IFERROR(N10/N15,0)+IFERROR(N11/N16,0)+IFERROR(N12/N17,0)+IFERROR(N13/N18,0)+IFERROR(N14/N19,0))</f>
        <v>2.7425211448380269</v>
      </c>
      <c r="O28" s="31">
        <f t="shared" ref="O28:Q28" si="4">(IFERROR(O10/O15,0)+IFERROR(O11/O16,0)+IFERROR(O12/O17,0)+IFERROR(O13/O18,0)+IFERROR(O14/O19,0))</f>
        <v>2.7425211448380269</v>
      </c>
      <c r="P28" s="31">
        <f t="shared" si="4"/>
        <v>10</v>
      </c>
      <c r="Q28" s="31">
        <f t="shared" si="4"/>
        <v>0</v>
      </c>
      <c r="R28" s="31">
        <f>(IFERROR(R10/R15,0)+IFERROR(R11/R16,0)+IFERROR(R12/R17,0)+IFERROR(R13/R18,0)+IFERROR(R14/R19,0))</f>
        <v>0</v>
      </c>
      <c r="S28" s="31"/>
      <c r="T28" s="44">
        <v>25</v>
      </c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2" x14ac:dyDescent="0.2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52" t="s">
        <v>44</v>
      </c>
      <c r="L29" s="36">
        <f>L21/$B$3</f>
        <v>1.0303292086235904E-2</v>
      </c>
      <c r="M29" s="36">
        <f>M21/$B$3</f>
        <v>2.0606584172471808E-3</v>
      </c>
      <c r="N29" s="36">
        <f>N21/$B$3</f>
        <v>1.6653611792272374E-3</v>
      </c>
      <c r="O29" s="36">
        <f>O21/$B$3</f>
        <v>1.6653611792272374E-3</v>
      </c>
      <c r="P29" s="36">
        <f t="shared" ref="P29" si="5">P21/$B$3</f>
        <v>4.1213168344943615E-3</v>
      </c>
      <c r="Q29" s="36">
        <f>Q21/$B$3</f>
        <v>0</v>
      </c>
      <c r="R29" s="36">
        <f>R21/$B$3</f>
        <v>1.6781127030343322E-3</v>
      </c>
      <c r="S29" s="36"/>
      <c r="T29" s="44">
        <v>26</v>
      </c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2" ht="15" customHeight="1" x14ac:dyDescent="0.2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52" t="s">
        <v>45</v>
      </c>
      <c r="L30" s="31">
        <f>L29*$G$24</f>
        <v>728.99190865629134</v>
      </c>
      <c r="M30" s="32">
        <f>M29*$G$24</f>
        <v>145.79838173125827</v>
      </c>
      <c r="N30" s="32">
        <v>70.456285047725174</v>
      </c>
      <c r="O30" s="37">
        <f>N30</f>
        <v>70.456285047725174</v>
      </c>
      <c r="P30" s="31">
        <f t="shared" ref="P30:R30" si="6">P29*$G$24</f>
        <v>291.59676346251655</v>
      </c>
      <c r="Q30" s="31">
        <f t="shared" si="6"/>
        <v>0</v>
      </c>
      <c r="R30" s="31">
        <f t="shared" si="6"/>
        <v>118.73201032120645</v>
      </c>
      <c r="S30" s="31"/>
      <c r="T30" s="44">
        <v>27</v>
      </c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2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52" t="s">
        <v>46</v>
      </c>
      <c r="L31" s="31">
        <f t="shared" ref="L31:Q31" si="7">L26/L27</f>
        <v>64.2</v>
      </c>
      <c r="M31" s="31">
        <f>M26/M27</f>
        <v>64.2</v>
      </c>
      <c r="N31" s="31">
        <f>N26/N27</f>
        <v>256.8</v>
      </c>
      <c r="O31" s="31">
        <f>O26/O27</f>
        <v>128.4</v>
      </c>
      <c r="P31" s="31">
        <f t="shared" si="7"/>
        <v>64.2</v>
      </c>
      <c r="Q31" s="31">
        <f t="shared" si="7"/>
        <v>0</v>
      </c>
      <c r="R31" s="31">
        <f>R26/R27</f>
        <v>0</v>
      </c>
      <c r="S31" s="31"/>
      <c r="T31" s="44">
        <v>28</v>
      </c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2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50"/>
      <c r="L32" s="38"/>
      <c r="M32" s="38"/>
      <c r="N32" s="38"/>
      <c r="O32" s="38"/>
      <c r="P32" s="38"/>
      <c r="Q32" s="38"/>
      <c r="R32" s="38"/>
      <c r="S32" s="38"/>
      <c r="T32" s="44">
        <v>29</v>
      </c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2" x14ac:dyDescent="0.2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50"/>
      <c r="L33" s="44"/>
      <c r="M33" s="44"/>
      <c r="N33" s="44"/>
      <c r="O33" s="44"/>
      <c r="P33" s="44"/>
      <c r="Q33" s="44"/>
      <c r="R33" s="44"/>
      <c r="S33" s="44"/>
      <c r="T33" s="44">
        <v>30</v>
      </c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2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50" t="s">
        <v>40</v>
      </c>
      <c r="L34" s="31">
        <f t="shared" ref="L34:R34" si="8">L31+L30+L28</f>
        <v>793.19190865629139</v>
      </c>
      <c r="M34" s="31">
        <f t="shared" si="8"/>
        <v>212.74090287609633</v>
      </c>
      <c r="N34" s="31">
        <f>N31+N30+N28</f>
        <v>329.99880619256322</v>
      </c>
      <c r="O34" s="31">
        <f t="shared" si="8"/>
        <v>201.59880619256322</v>
      </c>
      <c r="P34" s="31">
        <f t="shared" si="8"/>
        <v>365.79676346251654</v>
      </c>
      <c r="Q34" s="31">
        <f t="shared" si="8"/>
        <v>0</v>
      </c>
      <c r="R34" s="31">
        <f t="shared" si="8"/>
        <v>118.73201032120645</v>
      </c>
      <c r="S34" s="31"/>
      <c r="T34" s="44">
        <v>31</v>
      </c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2" ht="15" customHeight="1" x14ac:dyDescent="0.2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50" t="s">
        <v>47</v>
      </c>
      <c r="L35" s="40">
        <f>(L30+L28)/L26</f>
        <v>1.1355014153524787</v>
      </c>
      <c r="M35" s="40">
        <f t="shared" ref="M35:R35" si="9">(M30+M28)/M26</f>
        <v>0.23137212285996311</v>
      </c>
      <c r="N35" s="40">
        <f t="shared" si="9"/>
        <v>0.11401683207564361</v>
      </c>
      <c r="O35" s="40">
        <f t="shared" si="9"/>
        <v>0.11401683207564361</v>
      </c>
      <c r="P35" s="40">
        <f t="shared" si="9"/>
        <v>0.46977689012853047</v>
      </c>
      <c r="Q35" s="40" t="e">
        <f t="shared" si="9"/>
        <v>#DIV/0!</v>
      </c>
      <c r="R35" s="40" t="e">
        <f t="shared" si="9"/>
        <v>#DIV/0!</v>
      </c>
      <c r="S35" s="40"/>
      <c r="T35" s="44">
        <v>32</v>
      </c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2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50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2" x14ac:dyDescent="0.25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50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2" x14ac:dyDescent="0.25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50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2" x14ac:dyDescent="0.25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50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2" ht="15" customHeight="1" x14ac:dyDescent="0.2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50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50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2" x14ac:dyDescent="0.2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50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2" x14ac:dyDescent="0.25"/>
    <row r="44" spans="1:32" x14ac:dyDescent="0.25"/>
    <row r="45" spans="1:32" x14ac:dyDescent="0.25"/>
    <row r="46" spans="1:32" ht="15" customHeight="1" x14ac:dyDescent="0.25"/>
    <row r="47" spans="1:32" x14ac:dyDescent="0.25"/>
    <row r="48" spans="1:32" x14ac:dyDescent="0.25"/>
    <row r="49" x14ac:dyDescent="0.25"/>
    <row r="50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t="15" hidden="1" customHeight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t="15.75" hidden="1" customHeight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t="15" hidden="1" customHeight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t="15" hidden="1" customHeight="1" x14ac:dyDescent="0.25"/>
    <row r="90" hidden="1" x14ac:dyDescent="0.25"/>
    <row r="91" ht="15" hidden="1" customHeight="1" x14ac:dyDescent="0.25"/>
    <row r="92" hidden="1" x14ac:dyDescent="0.25"/>
    <row r="93" hidden="1" x14ac:dyDescent="0.25"/>
    <row r="94" ht="15" hidden="1" customHeight="1" x14ac:dyDescent="0.25"/>
    <row r="95" hidden="1" x14ac:dyDescent="0.25"/>
    <row r="96" hidden="1" x14ac:dyDescent="0.25"/>
    <row r="97" hidden="1" x14ac:dyDescent="0.25"/>
    <row r="98" hidden="1" x14ac:dyDescent="0.25"/>
    <row r="99" ht="15" hidden="1" customHeight="1" x14ac:dyDescent="0.25"/>
    <row r="100" hidden="1" x14ac:dyDescent="0.25"/>
    <row r="101" hidden="1" x14ac:dyDescent="0.25"/>
    <row r="102" hidden="1" x14ac:dyDescent="0.25"/>
    <row r="103" hidden="1" x14ac:dyDescent="0.25"/>
    <row r="104" ht="15" hidden="1" customHeight="1" x14ac:dyDescent="0.25"/>
    <row r="105" hidden="1" x14ac:dyDescent="0.25"/>
    <row r="106" hidden="1" x14ac:dyDescent="0.25"/>
    <row r="107" hidden="1" x14ac:dyDescent="0.25"/>
    <row r="108" hidden="1" x14ac:dyDescent="0.25"/>
    <row r="109" ht="15" hidden="1" customHeight="1" x14ac:dyDescent="0.25"/>
    <row r="110" hidden="1" x14ac:dyDescent="0.25"/>
    <row r="111" hidden="1" x14ac:dyDescent="0.25"/>
    <row r="112" hidden="1" x14ac:dyDescent="0.25"/>
    <row r="113" hidden="1" x14ac:dyDescent="0.25"/>
    <row r="114" ht="15" hidden="1" customHeight="1" x14ac:dyDescent="0.25"/>
  </sheetData>
  <mergeCells count="9">
    <mergeCell ref="Q5:Q6"/>
    <mergeCell ref="R5:R6"/>
    <mergeCell ref="S5:S6"/>
    <mergeCell ref="K5:K6"/>
    <mergeCell ref="L5:L6"/>
    <mergeCell ref="M5:M6"/>
    <mergeCell ref="N5:N6"/>
    <mergeCell ref="O5:O6"/>
    <mergeCell ref="P5:P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4"/>
  <sheetViews>
    <sheetView showGridLines="0" zoomScale="60" zoomScaleNormal="60" workbookViewId="0">
      <selection activeCell="B30" sqref="B30"/>
    </sheetView>
  </sheetViews>
  <sheetFormatPr defaultColWidth="0" defaultRowHeight="15" zeroHeight="1" x14ac:dyDescent="0.25"/>
  <cols>
    <col min="1" max="1" width="34.7109375" customWidth="1"/>
    <col min="2" max="3" width="13.7109375" customWidth="1"/>
    <col min="4" max="4" width="14.140625" customWidth="1"/>
    <col min="5" max="5" width="14.42578125" customWidth="1"/>
    <col min="6" max="6" width="13.42578125" customWidth="1"/>
    <col min="7" max="7" width="24.140625" bestFit="1" customWidth="1"/>
    <col min="8" max="10" width="3.85546875" customWidth="1"/>
    <col min="11" max="11" width="26.85546875" style="53" bestFit="1" customWidth="1"/>
    <col min="12" max="12" width="18.85546875" customWidth="1"/>
    <col min="13" max="13" width="16.85546875" customWidth="1"/>
    <col min="14" max="14" width="17" customWidth="1"/>
    <col min="15" max="15" width="18.85546875" customWidth="1"/>
    <col min="16" max="16" width="15.85546875" customWidth="1"/>
    <col min="17" max="17" width="17.85546875" customWidth="1"/>
    <col min="18" max="18" width="16.5703125" customWidth="1"/>
    <col min="19" max="19" width="14" customWidth="1"/>
    <col min="20" max="23" width="4.7109375" customWidth="1"/>
    <col min="24" max="24" width="9.140625" customWidth="1"/>
    <col min="25" max="25" width="26.5703125" customWidth="1"/>
    <col min="26" max="26" width="14.42578125" customWidth="1"/>
    <col min="27" max="27" width="14.5703125" customWidth="1"/>
    <col min="28" max="28" width="14.85546875" customWidth="1"/>
    <col min="29" max="29" width="9.5703125" customWidth="1"/>
    <col min="30" max="32" width="9.140625" customWidth="1"/>
    <col min="35" max="16384" width="9.140625" hidden="1"/>
  </cols>
  <sheetData>
    <row r="1" spans="1:31" ht="35.25" customHeight="1" x14ac:dyDescent="0.25">
      <c r="A1" s="57" t="s">
        <v>49</v>
      </c>
      <c r="B1" s="22"/>
      <c r="C1" s="21"/>
      <c r="D1" s="22"/>
      <c r="E1" s="22"/>
      <c r="F1" s="21"/>
      <c r="G1" s="22"/>
      <c r="H1" s="22"/>
      <c r="I1" s="22"/>
      <c r="J1" s="22"/>
      <c r="K1" s="49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1"/>
      <c r="Y1" s="23"/>
      <c r="Z1" s="23"/>
      <c r="AA1" s="23"/>
      <c r="AB1" s="23"/>
      <c r="AC1" s="23"/>
      <c r="AD1" s="23"/>
      <c r="AE1" s="23"/>
    </row>
    <row r="2" spans="1:31" ht="17.25" customHeight="1" x14ac:dyDescent="0.25">
      <c r="A2" s="42" t="s">
        <v>0</v>
      </c>
      <c r="B2" s="43"/>
      <c r="C2" s="43"/>
      <c r="D2" s="43"/>
      <c r="E2" s="43"/>
      <c r="F2" s="43"/>
      <c r="G2" s="43"/>
      <c r="H2" s="44"/>
      <c r="I2" s="44"/>
      <c r="J2" s="44"/>
      <c r="K2" s="50"/>
      <c r="L2" s="42" t="s">
        <v>96</v>
      </c>
      <c r="M2" s="43"/>
      <c r="N2" s="43"/>
      <c r="O2" s="43"/>
      <c r="P2" s="43"/>
      <c r="Q2" s="43"/>
      <c r="R2" s="43"/>
      <c r="S2" s="43"/>
      <c r="T2" s="44"/>
      <c r="U2" s="44"/>
      <c r="V2" s="44"/>
      <c r="W2" s="44"/>
      <c r="X2" s="42" t="s">
        <v>87</v>
      </c>
      <c r="Y2" s="43"/>
      <c r="Z2" s="42" t="s">
        <v>88</v>
      </c>
      <c r="AA2" s="43"/>
      <c r="AB2" s="43"/>
      <c r="AC2" s="43"/>
      <c r="AD2" s="43"/>
      <c r="AE2" s="43"/>
    </row>
    <row r="3" spans="1:31" ht="15" customHeight="1" x14ac:dyDescent="0.25">
      <c r="A3" s="44" t="s">
        <v>53</v>
      </c>
      <c r="B3" s="26">
        <f>NUM_ABC+NUM_OTHER_OVERHEAD</f>
        <v>310941</v>
      </c>
      <c r="C3" s="44" t="s">
        <v>108</v>
      </c>
      <c r="D3" s="44"/>
      <c r="E3" s="44"/>
      <c r="F3" s="44"/>
      <c r="G3" s="44"/>
      <c r="H3" s="44"/>
      <c r="I3" s="44"/>
      <c r="J3" s="44"/>
      <c r="K3" s="50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>
        <v>28</v>
      </c>
      <c r="AA3" s="44">
        <v>25</v>
      </c>
      <c r="AB3" s="44">
        <v>27</v>
      </c>
      <c r="AC3" s="44">
        <v>18</v>
      </c>
      <c r="AD3" s="44"/>
      <c r="AE3" s="44"/>
    </row>
    <row r="4" spans="1:3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50" t="s">
        <v>1</v>
      </c>
      <c r="L4" s="44" t="s">
        <v>2</v>
      </c>
      <c r="M4" s="44" t="s">
        <v>3</v>
      </c>
      <c r="N4" s="44" t="s">
        <v>4</v>
      </c>
      <c r="O4" s="44" t="s">
        <v>5</v>
      </c>
      <c r="P4" s="44" t="s">
        <v>6</v>
      </c>
      <c r="Q4" s="44" t="s">
        <v>7</v>
      </c>
      <c r="R4" s="44" t="s">
        <v>8</v>
      </c>
      <c r="S4" s="44" t="s">
        <v>9</v>
      </c>
      <c r="T4" s="44">
        <v>1</v>
      </c>
      <c r="U4" s="44"/>
      <c r="V4" s="44"/>
      <c r="W4" s="44"/>
      <c r="X4" s="3"/>
      <c r="Y4" s="3"/>
      <c r="Z4" s="3" t="s">
        <v>158</v>
      </c>
      <c r="AA4" s="3" t="s">
        <v>159</v>
      </c>
      <c r="AB4" s="3" t="s">
        <v>160</v>
      </c>
      <c r="AC4" s="3" t="s">
        <v>11</v>
      </c>
      <c r="AD4" s="3" t="s">
        <v>40</v>
      </c>
      <c r="AE4" s="3"/>
    </row>
    <row r="5" spans="1:31" ht="15" customHeight="1" x14ac:dyDescent="0.25">
      <c r="A5" s="44" t="s">
        <v>12</v>
      </c>
      <c r="B5" s="25">
        <f>COST_REPL_SERVICE</f>
        <v>642</v>
      </c>
      <c r="C5" s="44"/>
      <c r="D5" s="44"/>
      <c r="E5" s="44"/>
      <c r="F5" s="44"/>
      <c r="G5" s="44"/>
      <c r="H5" s="45"/>
      <c r="I5" s="44"/>
      <c r="J5" s="44"/>
      <c r="K5" s="51" t="s">
        <v>13</v>
      </c>
      <c r="L5" s="34" t="s">
        <v>161</v>
      </c>
      <c r="M5" s="34" t="s">
        <v>165</v>
      </c>
      <c r="N5" s="34" t="s">
        <v>162</v>
      </c>
      <c r="O5" s="34" t="s">
        <v>163</v>
      </c>
      <c r="P5" s="34" t="s">
        <v>164</v>
      </c>
      <c r="Q5" s="34"/>
      <c r="R5" s="34"/>
      <c r="S5" s="34"/>
      <c r="T5" s="44">
        <v>2</v>
      </c>
      <c r="U5" s="44"/>
      <c r="V5" s="44"/>
      <c r="W5" s="44"/>
      <c r="X5" s="3" t="s">
        <v>2</v>
      </c>
      <c r="Y5" s="3" t="str">
        <f>HLOOKUP(X5,$L$4:$S$6,2,FALSE)</f>
        <v>No maintenance</v>
      </c>
      <c r="Z5" s="31">
        <f>HLOOKUP($X5,$L$4:$S$35,Z$3,FALSE)</f>
        <v>32.1</v>
      </c>
      <c r="AA5" s="31">
        <f>HLOOKUP($X5,$L$4:$S$35,AA$3,FALSE)</f>
        <v>0</v>
      </c>
      <c r="AB5" s="31">
        <f>HLOOKUP($X5,$L$4:$S$35,AB$3,FALSE)</f>
        <v>46.311500576707417</v>
      </c>
      <c r="AC5" s="24">
        <f>HLOOKUP($X5,$L$4:$S$35,AC$3,FALSE)</f>
        <v>2089.5578086890382</v>
      </c>
      <c r="AD5" s="33">
        <f t="shared" ref="AD5:AD11" si="0">Z5+AA5+AB5</f>
        <v>78.411500576707425</v>
      </c>
      <c r="AE5" s="3"/>
    </row>
    <row r="6" spans="1:31" x14ac:dyDescent="0.25">
      <c r="A6" s="44" t="s">
        <v>52</v>
      </c>
      <c r="B6" s="26">
        <f>NUM_ABC+NUM_NEUTRAL_SCREEN+NUM_OTHER_OVERHEAD+NUM_PVC_TWIST</f>
        <v>364628</v>
      </c>
      <c r="C6" s="44"/>
      <c r="D6" s="44"/>
      <c r="E6" s="44"/>
      <c r="F6" s="44"/>
      <c r="G6" s="44"/>
      <c r="H6" s="44"/>
      <c r="I6" s="44"/>
      <c r="J6" s="44"/>
      <c r="K6" s="51"/>
      <c r="L6" s="34"/>
      <c r="M6" s="34"/>
      <c r="N6" s="34"/>
      <c r="O6" s="34"/>
      <c r="P6" s="34"/>
      <c r="Q6" s="34"/>
      <c r="R6" s="34"/>
      <c r="S6" s="34"/>
      <c r="T6" s="44">
        <v>3</v>
      </c>
      <c r="U6" s="44"/>
      <c r="V6" s="44"/>
      <c r="W6" s="44"/>
      <c r="X6" s="3" t="s">
        <v>3</v>
      </c>
      <c r="Y6" s="3" t="str">
        <f t="shared" ref="Y6:Y12" si="1">HLOOKUP(X6,$L$4:$S$6,2,FALSE)</f>
        <v>Condition monitoring (AMI)</v>
      </c>
      <c r="Z6" s="31">
        <f t="shared" ref="Z6:AC12" si="2">HLOOKUP($X6,$L$4:$S$35,Z$3,FALSE)</f>
        <v>32.1</v>
      </c>
      <c r="AA6" s="31">
        <f t="shared" si="2"/>
        <v>2.7425211448380269</v>
      </c>
      <c r="AB6" s="31">
        <f t="shared" si="2"/>
        <v>9.2623001153414837</v>
      </c>
      <c r="AC6" s="24">
        <f t="shared" si="2"/>
        <v>417.91156173780769</v>
      </c>
      <c r="AD6" s="33">
        <f t="shared" si="0"/>
        <v>44.104821260179513</v>
      </c>
      <c r="AE6" s="3"/>
    </row>
    <row r="7" spans="1:31" x14ac:dyDescent="0.25">
      <c r="A7" s="44" t="s">
        <v>14</v>
      </c>
      <c r="B7" s="3">
        <f>SUM(B18:F18)</f>
        <v>417.91156173780769</v>
      </c>
      <c r="C7" s="44" t="s">
        <v>15</v>
      </c>
      <c r="D7" s="44"/>
      <c r="E7" s="44"/>
      <c r="F7" s="44"/>
      <c r="G7" s="44"/>
      <c r="H7" s="44"/>
      <c r="I7" s="44"/>
      <c r="J7" s="44"/>
      <c r="K7" s="50" t="s">
        <v>16</v>
      </c>
      <c r="L7" s="35">
        <f>B5</f>
        <v>642</v>
      </c>
      <c r="M7" s="35">
        <f>L7</f>
        <v>642</v>
      </c>
      <c r="N7" s="35">
        <f>COST_REPL_SERVICE</f>
        <v>642</v>
      </c>
      <c r="O7" s="35">
        <f>N7</f>
        <v>642</v>
      </c>
      <c r="P7" s="35">
        <f>N7</f>
        <v>642</v>
      </c>
      <c r="Q7" s="35"/>
      <c r="R7" s="35"/>
      <c r="S7" s="35"/>
      <c r="T7" s="44">
        <v>4</v>
      </c>
      <c r="U7" s="44"/>
      <c r="V7" s="44"/>
      <c r="W7" s="44"/>
      <c r="X7" s="3" t="s">
        <v>4</v>
      </c>
      <c r="Y7" s="3" t="str">
        <f t="shared" si="1"/>
        <v>Proactive replacement (5Y)</v>
      </c>
      <c r="Z7" s="31">
        <f t="shared" si="2"/>
        <v>256.8</v>
      </c>
      <c r="AA7" s="31">
        <f t="shared" si="2"/>
        <v>2.7425211448380269</v>
      </c>
      <c r="AB7" s="31">
        <f t="shared" si="2"/>
        <v>70.456285047725174</v>
      </c>
      <c r="AC7" s="24">
        <f t="shared" si="2"/>
        <v>417.34489507114102</v>
      </c>
      <c r="AD7" s="33">
        <f t="shared" si="0"/>
        <v>329.99880619256317</v>
      </c>
      <c r="AE7" s="3"/>
    </row>
    <row r="8" spans="1:31" x14ac:dyDescent="0.25">
      <c r="A8" s="44" t="s">
        <v>17</v>
      </c>
      <c r="B8" s="3">
        <f>B7/B3*1000</f>
        <v>1.3440220547879105</v>
      </c>
      <c r="C8" s="44" t="s">
        <v>107</v>
      </c>
      <c r="D8" s="44"/>
      <c r="E8" s="44"/>
      <c r="F8" s="44"/>
      <c r="G8" s="44"/>
      <c r="H8" s="44"/>
      <c r="I8" s="44"/>
      <c r="J8" s="44"/>
      <c r="K8" s="50" t="s">
        <v>57</v>
      </c>
      <c r="L8" s="27"/>
      <c r="M8" s="27"/>
      <c r="N8" s="27"/>
      <c r="O8" s="27"/>
      <c r="P8" s="27"/>
      <c r="Q8" s="27"/>
      <c r="R8" s="27"/>
      <c r="S8" s="27"/>
      <c r="T8" s="44">
        <v>5</v>
      </c>
      <c r="U8" s="44"/>
      <c r="V8" s="44"/>
      <c r="W8" s="44"/>
      <c r="X8" s="3" t="s">
        <v>5</v>
      </c>
      <c r="Y8" s="3" t="str">
        <f t="shared" si="1"/>
        <v>Proactive replacement (10Y)</v>
      </c>
      <c r="Z8" s="31">
        <f t="shared" si="2"/>
        <v>128.4</v>
      </c>
      <c r="AA8" s="31">
        <f t="shared" si="2"/>
        <v>2.7425211448380269</v>
      </c>
      <c r="AB8" s="31">
        <f t="shared" si="2"/>
        <v>70.456285047725174</v>
      </c>
      <c r="AC8" s="24">
        <f t="shared" si="2"/>
        <v>417.34489507114102</v>
      </c>
      <c r="AD8" s="33">
        <f t="shared" si="0"/>
        <v>201.59880619256322</v>
      </c>
      <c r="AE8" s="3"/>
    </row>
    <row r="9" spans="1:31" x14ac:dyDescent="0.25">
      <c r="A9" s="44" t="s">
        <v>18</v>
      </c>
      <c r="B9" s="26" t="s">
        <v>3</v>
      </c>
      <c r="C9" s="44"/>
      <c r="D9" s="44"/>
      <c r="E9" s="45"/>
      <c r="F9" s="44"/>
      <c r="G9" s="44"/>
      <c r="H9" s="44"/>
      <c r="I9" s="44"/>
      <c r="J9" s="44"/>
      <c r="K9" s="50"/>
      <c r="L9" s="44"/>
      <c r="M9" s="44"/>
      <c r="N9" s="44"/>
      <c r="O9" s="44"/>
      <c r="P9" s="44"/>
      <c r="Q9" s="44"/>
      <c r="R9" s="44"/>
      <c r="S9" s="44"/>
      <c r="T9" s="44">
        <v>6</v>
      </c>
      <c r="U9" s="44"/>
      <c r="V9" s="44"/>
      <c r="W9" s="44"/>
      <c r="X9" s="3" t="s">
        <v>6</v>
      </c>
      <c r="Y9" s="3" t="str">
        <f t="shared" si="1"/>
        <v>Inspect and maintain</v>
      </c>
      <c r="Z9" s="31">
        <f t="shared" si="2"/>
        <v>32.1</v>
      </c>
      <c r="AA9" s="31">
        <f t="shared" si="2"/>
        <v>10</v>
      </c>
      <c r="AB9" s="31">
        <f t="shared" si="2"/>
        <v>18.524600230682967</v>
      </c>
      <c r="AC9" s="24">
        <f t="shared" si="2"/>
        <v>835.82312347561538</v>
      </c>
      <c r="AD9" s="33">
        <f t="shared" si="0"/>
        <v>60.624600230682972</v>
      </c>
      <c r="AE9" s="3"/>
    </row>
    <row r="10" spans="1:31" ht="15" customHeight="1" x14ac:dyDescent="0.25">
      <c r="A10" s="44" t="s">
        <v>19</v>
      </c>
      <c r="B10" s="28">
        <f>B3/B11</f>
        <v>666.30214285714283</v>
      </c>
      <c r="C10" s="44" t="s">
        <v>20</v>
      </c>
      <c r="D10" s="44"/>
      <c r="E10" s="44"/>
      <c r="F10" s="44"/>
      <c r="G10" s="46"/>
      <c r="H10" s="44"/>
      <c r="I10" s="44"/>
      <c r="J10" s="44"/>
      <c r="K10" s="50" t="s">
        <v>110</v>
      </c>
      <c r="L10" s="27"/>
      <c r="M10" s="27">
        <f>1000000/B6</f>
        <v>2.7425211448380269</v>
      </c>
      <c r="N10" s="27">
        <f>M10</f>
        <v>2.7425211448380269</v>
      </c>
      <c r="O10" s="27">
        <f>N10</f>
        <v>2.7425211448380269</v>
      </c>
      <c r="P10" s="27"/>
      <c r="Q10" s="27"/>
      <c r="R10" s="27"/>
      <c r="S10" s="27"/>
      <c r="T10" s="44">
        <v>7</v>
      </c>
      <c r="U10" s="44"/>
      <c r="V10" s="44"/>
      <c r="W10" s="44"/>
      <c r="X10" s="3" t="s">
        <v>7</v>
      </c>
      <c r="Y10" s="3">
        <f t="shared" si="1"/>
        <v>0</v>
      </c>
      <c r="Z10" s="31">
        <f>HLOOKUP($X10,$L$4:$S$35,Z$3,FALSE)</f>
        <v>0</v>
      </c>
      <c r="AA10" s="31">
        <f t="shared" si="2"/>
        <v>0</v>
      </c>
      <c r="AB10" s="31">
        <f t="shared" si="2"/>
        <v>0</v>
      </c>
      <c r="AC10" s="24">
        <f t="shared" si="2"/>
        <v>0</v>
      </c>
      <c r="AD10" s="33">
        <f t="shared" si="0"/>
        <v>0</v>
      </c>
      <c r="AE10" s="3"/>
    </row>
    <row r="11" spans="1:31" x14ac:dyDescent="0.25">
      <c r="A11" s="44" t="s">
        <v>50</v>
      </c>
      <c r="B11" s="26">
        <f>NUM_REPL_ANNUAL*Other_Failures_yr/FAULTS_ANNUAL_MECH</f>
        <v>466.66666666666669</v>
      </c>
      <c r="C11" s="44" t="s">
        <v>108</v>
      </c>
      <c r="D11" s="44"/>
      <c r="E11" s="44"/>
      <c r="F11" s="44"/>
      <c r="G11" s="44"/>
      <c r="H11" s="44"/>
      <c r="I11" s="44"/>
      <c r="J11" s="44"/>
      <c r="K11" s="50" t="s">
        <v>98</v>
      </c>
      <c r="L11" s="27"/>
      <c r="M11" s="27"/>
      <c r="N11" s="27"/>
      <c r="O11" s="27"/>
      <c r="P11" s="27">
        <f>COST_INSPECT_SERVICE</f>
        <v>100</v>
      </c>
      <c r="Q11" s="27"/>
      <c r="R11" s="27"/>
      <c r="S11" s="27"/>
      <c r="T11" s="44">
        <v>8</v>
      </c>
      <c r="U11" s="44"/>
      <c r="V11" s="44"/>
      <c r="W11" s="44"/>
      <c r="X11" s="3" t="s">
        <v>8</v>
      </c>
      <c r="Y11" s="3">
        <f t="shared" si="1"/>
        <v>0</v>
      </c>
      <c r="Z11" s="31">
        <f t="shared" si="2"/>
        <v>0</v>
      </c>
      <c r="AA11" s="31">
        <f t="shared" si="2"/>
        <v>0</v>
      </c>
      <c r="AB11" s="31">
        <f t="shared" si="2"/>
        <v>9.0953365742705241</v>
      </c>
      <c r="AC11" s="24">
        <f t="shared" si="2"/>
        <v>410.37822840447433</v>
      </c>
      <c r="AD11" s="33">
        <f t="shared" si="0"/>
        <v>9.0953365742705241</v>
      </c>
      <c r="AE11" s="3"/>
    </row>
    <row r="12" spans="1:31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50" t="s">
        <v>21</v>
      </c>
      <c r="L12" s="27"/>
      <c r="M12" s="27"/>
      <c r="N12" s="27"/>
      <c r="O12" s="27"/>
      <c r="P12" s="27"/>
      <c r="Q12" s="27"/>
      <c r="R12" s="27"/>
      <c r="S12" s="27"/>
      <c r="T12" s="44">
        <v>9</v>
      </c>
      <c r="U12" s="44"/>
      <c r="V12" s="44"/>
      <c r="W12" s="44"/>
      <c r="X12" s="3" t="s">
        <v>9</v>
      </c>
      <c r="Y12" s="3">
        <f t="shared" si="1"/>
        <v>0</v>
      </c>
      <c r="Z12" s="31">
        <f t="shared" si="2"/>
        <v>0</v>
      </c>
      <c r="AA12" s="31">
        <f t="shared" si="2"/>
        <v>0</v>
      </c>
      <c r="AB12" s="31">
        <f t="shared" si="2"/>
        <v>0</v>
      </c>
      <c r="AC12" s="3">
        <f t="shared" si="2"/>
        <v>0</v>
      </c>
      <c r="AD12" s="3"/>
      <c r="AE12" s="3"/>
    </row>
    <row r="13" spans="1:31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50" t="s">
        <v>22</v>
      </c>
      <c r="L13" s="27"/>
      <c r="M13" s="27"/>
      <c r="N13" s="27"/>
      <c r="O13" s="27"/>
      <c r="P13" s="27"/>
      <c r="Q13" s="27"/>
      <c r="R13" s="27"/>
      <c r="S13" s="27"/>
      <c r="T13" s="44">
        <v>10</v>
      </c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</row>
    <row r="14" spans="1:31" x14ac:dyDescent="0.25">
      <c r="A14" s="44"/>
      <c r="B14" s="44"/>
      <c r="C14" s="44"/>
      <c r="D14" s="47"/>
      <c r="E14" s="44"/>
      <c r="F14" s="44"/>
      <c r="G14" s="44"/>
      <c r="H14" s="44"/>
      <c r="I14" s="44"/>
      <c r="J14" s="44"/>
      <c r="K14" s="50" t="s">
        <v>23</v>
      </c>
      <c r="L14" s="27"/>
      <c r="M14" s="27"/>
      <c r="N14" s="27"/>
      <c r="O14" s="27"/>
      <c r="P14" s="27"/>
      <c r="Q14" s="27"/>
      <c r="R14" s="27"/>
      <c r="S14" s="27"/>
      <c r="T14" s="44">
        <v>11</v>
      </c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</row>
    <row r="15" spans="1:31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50" t="s">
        <v>24</v>
      </c>
      <c r="L15" s="27"/>
      <c r="M15" s="27">
        <v>1</v>
      </c>
      <c r="N15" s="27">
        <v>1</v>
      </c>
      <c r="O15" s="27">
        <v>1</v>
      </c>
      <c r="P15" s="27"/>
      <c r="Q15" s="27"/>
      <c r="R15" s="27">
        <v>1</v>
      </c>
      <c r="S15" s="27"/>
      <c r="T15" s="44">
        <v>12</v>
      </c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</row>
    <row r="16" spans="1:31" x14ac:dyDescent="0.25">
      <c r="A16" s="48" t="s">
        <v>25</v>
      </c>
      <c r="B16" s="48" t="s">
        <v>26</v>
      </c>
      <c r="C16" s="48" t="s">
        <v>27</v>
      </c>
      <c r="D16" s="48" t="s">
        <v>28</v>
      </c>
      <c r="E16" s="48" t="s">
        <v>29</v>
      </c>
      <c r="F16" s="48" t="s">
        <v>30</v>
      </c>
      <c r="G16" s="48" t="s">
        <v>31</v>
      </c>
      <c r="H16" s="44"/>
      <c r="I16" s="44"/>
      <c r="J16" s="44"/>
      <c r="K16" s="50" t="s">
        <v>32</v>
      </c>
      <c r="L16" s="27"/>
      <c r="M16" s="27"/>
      <c r="N16" s="27"/>
      <c r="O16" s="27"/>
      <c r="P16" s="27">
        <v>10</v>
      </c>
      <c r="Q16" s="27"/>
      <c r="R16" s="27">
        <v>1</v>
      </c>
      <c r="S16" s="27"/>
      <c r="T16" s="44">
        <v>13</v>
      </c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</row>
    <row r="17" spans="1:31" x14ac:dyDescent="0.25">
      <c r="A17" s="44" t="s">
        <v>13</v>
      </c>
      <c r="B17" s="27" t="s">
        <v>128</v>
      </c>
      <c r="C17" s="27" t="s">
        <v>94</v>
      </c>
      <c r="D17" s="27" t="s">
        <v>55</v>
      </c>
      <c r="E17" s="27"/>
      <c r="F17" s="27"/>
      <c r="G17" s="3"/>
      <c r="H17" s="44"/>
      <c r="I17" s="44"/>
      <c r="J17" s="44"/>
      <c r="K17" s="50" t="s">
        <v>33</v>
      </c>
      <c r="L17" s="27"/>
      <c r="M17" s="27"/>
      <c r="N17" s="27"/>
      <c r="O17" s="27"/>
      <c r="P17" s="27"/>
      <c r="Q17" s="27"/>
      <c r="R17" s="27"/>
      <c r="S17" s="27"/>
      <c r="T17" s="44">
        <v>14</v>
      </c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</row>
    <row r="18" spans="1:31" x14ac:dyDescent="0.25">
      <c r="A18" s="44" t="s">
        <v>56</v>
      </c>
      <c r="B18" s="27">
        <f>Other_Failures_yr</f>
        <v>15.066666666666666</v>
      </c>
      <c r="C18" s="28">
        <f>FAULTS_ANNUAL_VEG*B3/B6</f>
        <v>388.51848898055005</v>
      </c>
      <c r="D18" s="28">
        <f>FAULTS_ANN_VEH*B3/B6</f>
        <v>14.326406090590957</v>
      </c>
      <c r="E18" s="27"/>
      <c r="F18" s="27"/>
      <c r="G18" s="3"/>
      <c r="H18" s="44"/>
      <c r="I18" s="44"/>
      <c r="J18" s="44"/>
      <c r="K18" s="50" t="s">
        <v>35</v>
      </c>
      <c r="L18" s="27"/>
      <c r="M18" s="27"/>
      <c r="N18" s="27"/>
      <c r="O18" s="27"/>
      <c r="P18" s="27"/>
      <c r="Q18" s="27"/>
      <c r="R18" s="27"/>
      <c r="S18" s="27"/>
      <c r="T18" s="44">
        <v>15</v>
      </c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</row>
    <row r="19" spans="1:31" x14ac:dyDescent="0.25">
      <c r="A19" s="44" t="s">
        <v>34</v>
      </c>
      <c r="B19" s="29">
        <f>POC_OUTAGE*COC_OUTAGE</f>
        <v>6.3000000000000007</v>
      </c>
      <c r="C19" s="29">
        <f>POC_OUTAGE*COC_OUTAGE</f>
        <v>6.3000000000000007</v>
      </c>
      <c r="D19" s="29">
        <f>POC_OUTAGE*COC_OUTAGE</f>
        <v>6.3000000000000007</v>
      </c>
      <c r="E19" s="29"/>
      <c r="F19" s="29"/>
      <c r="G19" s="31">
        <f>SUMPRODUCT(($B$23:$F$23)*(B19:F19))</f>
        <v>6.3</v>
      </c>
      <c r="H19" s="44"/>
      <c r="I19" s="44"/>
      <c r="J19" s="44"/>
      <c r="K19" s="50" t="s">
        <v>37</v>
      </c>
      <c r="L19" s="27"/>
      <c r="M19" s="27"/>
      <c r="N19" s="27"/>
      <c r="O19" s="27"/>
      <c r="P19" s="27"/>
      <c r="Q19" s="27"/>
      <c r="R19" s="27"/>
      <c r="S19" s="27"/>
      <c r="T19" s="44">
        <v>16</v>
      </c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</row>
    <row r="20" spans="1:31" ht="15" customHeight="1" x14ac:dyDescent="0.25">
      <c r="A20" s="44" t="s">
        <v>36</v>
      </c>
      <c r="B20" s="29">
        <f>PoC_Shock_PVC*PUBLIC_DF*VLTI</f>
        <v>190500</v>
      </c>
      <c r="C20" s="29"/>
      <c r="D20" s="29"/>
      <c r="E20" s="29"/>
      <c r="F20" s="29"/>
      <c r="G20" s="31">
        <f>SUMPRODUCT(($B$23:$F$23)*(B20:F20))</f>
        <v>6867.9602642836826</v>
      </c>
      <c r="H20" s="44"/>
      <c r="I20" s="44"/>
      <c r="J20" s="44"/>
      <c r="K20" s="50"/>
      <c r="L20" s="44"/>
      <c r="M20" s="44"/>
      <c r="N20" s="44"/>
      <c r="O20" s="44"/>
      <c r="P20" s="44"/>
      <c r="Q20" s="44"/>
      <c r="R20" s="44"/>
      <c r="S20" s="44"/>
      <c r="T20" s="44">
        <v>17</v>
      </c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</row>
    <row r="21" spans="1:31" x14ac:dyDescent="0.25">
      <c r="A21" s="44" t="s">
        <v>38</v>
      </c>
      <c r="B21" s="29"/>
      <c r="C21" s="29"/>
      <c r="D21" s="29"/>
      <c r="E21" s="29"/>
      <c r="F21" s="27"/>
      <c r="G21" s="31">
        <f>SUMPRODUCT(($B$23:$F$23)*(B21:F21))</f>
        <v>0</v>
      </c>
      <c r="H21" s="44"/>
      <c r="I21" s="44"/>
      <c r="J21" s="44"/>
      <c r="K21" s="50" t="s">
        <v>51</v>
      </c>
      <c r="L21" s="27">
        <f>M21*5</f>
        <v>2089.5578086890382</v>
      </c>
      <c r="M21" s="27">
        <f>SUM(B18:F18)</f>
        <v>417.91156173780769</v>
      </c>
      <c r="N21" s="28">
        <f>D18+C18+14.5</f>
        <v>417.34489507114102</v>
      </c>
      <c r="O21" s="28">
        <f>N21</f>
        <v>417.34489507114102</v>
      </c>
      <c r="P21" s="27">
        <f>M21*2</f>
        <v>835.82312347561538</v>
      </c>
      <c r="Q21" s="27"/>
      <c r="R21" s="27">
        <f>SUM(D18:F18)+0.5*B18+C18</f>
        <v>410.37822840447433</v>
      </c>
      <c r="S21" s="27"/>
      <c r="T21" s="44">
        <v>18</v>
      </c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</row>
    <row r="22" spans="1:31" x14ac:dyDescent="0.25">
      <c r="A22" s="44" t="s">
        <v>39</v>
      </c>
      <c r="B22" s="29">
        <f>POC_FIRE*CoC_Fire</f>
        <v>17.218995558592415</v>
      </c>
      <c r="C22" s="29">
        <f>POC_FIRE*CoC_Fire</f>
        <v>17.218995558592415</v>
      </c>
      <c r="D22" s="29">
        <f>POC_FIRE*CoC_Fire</f>
        <v>17.218995558592415</v>
      </c>
      <c r="E22" s="29"/>
      <c r="F22" s="27"/>
      <c r="G22" s="31">
        <f>SUMPRODUCT(($B$23:$F$23)*(B22:F22))</f>
        <v>17.218995558592415</v>
      </c>
      <c r="H22" s="44"/>
      <c r="I22" s="44"/>
      <c r="J22" s="44"/>
      <c r="K22" s="50"/>
      <c r="L22" s="44"/>
      <c r="M22" s="44"/>
      <c r="N22" s="44"/>
      <c r="O22" s="44"/>
      <c r="P22" s="44"/>
      <c r="Q22" s="44"/>
      <c r="R22" s="44"/>
      <c r="S22" s="44"/>
      <c r="T22" s="44">
        <v>19</v>
      </c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</row>
    <row r="23" spans="1:31" x14ac:dyDescent="0.25">
      <c r="A23" s="44" t="s">
        <v>86</v>
      </c>
      <c r="B23" s="30">
        <f>B18/SUM($B$18:$F$18)</f>
        <v>3.6052284851882846E-2</v>
      </c>
      <c r="C23" s="30">
        <f>C18/SUM($B$18:$F$18)</f>
        <v>0.92966676338163035</v>
      </c>
      <c r="D23" s="30">
        <f>D18/SUM($B$18:$F$18)</f>
        <v>3.4280951766486802E-2</v>
      </c>
      <c r="E23" s="30">
        <f>E18/SUM($B$18:$F$18)</f>
        <v>0</v>
      </c>
      <c r="F23" s="30">
        <f>F18/SUM($B$18:$F$18)</f>
        <v>0</v>
      </c>
      <c r="G23" s="31"/>
      <c r="H23" s="44"/>
      <c r="I23" s="44"/>
      <c r="J23" s="44"/>
      <c r="K23" s="50"/>
      <c r="L23" s="44"/>
      <c r="M23" s="44"/>
      <c r="N23" s="44"/>
      <c r="O23" s="44"/>
      <c r="P23" s="44"/>
      <c r="Q23" s="44"/>
      <c r="R23" s="44"/>
      <c r="S23" s="44"/>
      <c r="T23" s="44">
        <v>20</v>
      </c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</row>
    <row r="24" spans="1:31" x14ac:dyDescent="0.25">
      <c r="A24" s="48" t="s">
        <v>40</v>
      </c>
      <c r="B24" s="33">
        <f>SUM(B19:B22)</f>
        <v>190523.51899555858</v>
      </c>
      <c r="C24" s="33">
        <f>SUM(C19:C22)</f>
        <v>23.518995558592415</v>
      </c>
      <c r="D24" s="33">
        <f>SUM(D19:D22)</f>
        <v>23.518995558592415</v>
      </c>
      <c r="E24" s="33">
        <f>SUM(E19:E22)</f>
        <v>0</v>
      </c>
      <c r="F24" s="3"/>
      <c r="G24" s="32">
        <f>SUM(G19:G23)</f>
        <v>6891.4792598422755</v>
      </c>
      <c r="H24" s="44"/>
      <c r="I24" s="44"/>
      <c r="J24" s="44"/>
      <c r="K24" s="50"/>
      <c r="L24" s="44"/>
      <c r="M24" s="44"/>
      <c r="N24" s="44"/>
      <c r="O24" s="44"/>
      <c r="P24" s="44"/>
      <c r="Q24" s="44"/>
      <c r="R24" s="44"/>
      <c r="S24" s="44"/>
      <c r="T24" s="44">
        <v>21</v>
      </c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</row>
    <row r="25" spans="1:31" ht="15" customHeight="1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50"/>
      <c r="L25" s="44" t="s">
        <v>58</v>
      </c>
      <c r="M25" s="44"/>
      <c r="N25" s="44"/>
      <c r="O25" s="44"/>
      <c r="P25" s="44"/>
      <c r="Q25" s="44"/>
      <c r="R25" s="44"/>
      <c r="S25" s="44"/>
      <c r="T25" s="44">
        <v>22</v>
      </c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</row>
    <row r="26" spans="1:31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52" t="s">
        <v>41</v>
      </c>
      <c r="L26" s="31">
        <f>L7</f>
        <v>642</v>
      </c>
      <c r="M26" s="31">
        <f t="shared" ref="M26:R26" si="3">M7</f>
        <v>642</v>
      </c>
      <c r="N26" s="31">
        <f t="shared" si="3"/>
        <v>642</v>
      </c>
      <c r="O26" s="31">
        <f t="shared" si="3"/>
        <v>642</v>
      </c>
      <c r="P26" s="31">
        <f t="shared" si="3"/>
        <v>642</v>
      </c>
      <c r="Q26" s="31">
        <f t="shared" si="3"/>
        <v>0</v>
      </c>
      <c r="R26" s="31">
        <f t="shared" si="3"/>
        <v>0</v>
      </c>
      <c r="S26" s="31"/>
      <c r="T26" s="44">
        <v>23</v>
      </c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</row>
    <row r="27" spans="1:31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52" t="s">
        <v>42</v>
      </c>
      <c r="L27" s="54">
        <f>M27</f>
        <v>20</v>
      </c>
      <c r="M27" s="54">
        <v>20</v>
      </c>
      <c r="N27" s="56">
        <v>2.5</v>
      </c>
      <c r="O27" s="54">
        <v>5</v>
      </c>
      <c r="P27" s="54">
        <v>20</v>
      </c>
      <c r="Q27" s="54">
        <f>M27*1.05</f>
        <v>21</v>
      </c>
      <c r="R27" s="54">
        <f>L27</f>
        <v>20</v>
      </c>
      <c r="S27" s="54"/>
      <c r="T27" s="44">
        <v>24</v>
      </c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</row>
    <row r="28" spans="1:31" x14ac:dyDescent="0.2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52" t="s">
        <v>43</v>
      </c>
      <c r="L28" s="31">
        <f>(IFERROR(L10/L15,0)+IFERROR(L11/L16,0)+IFERROR(L12/L17,0)+IFERROR(L13/L18,0)+IFERROR(L14/L19,0))</f>
        <v>0</v>
      </c>
      <c r="M28" s="31">
        <f>(IFERROR(M10/M15,0)+IFERROR(M11/M16,0)+IFERROR(M12/M17,0)+IFERROR(M13/M18,0)+IFERROR(M14/M19,0))</f>
        <v>2.7425211448380269</v>
      </c>
      <c r="N28" s="31">
        <f>(IFERROR(N10/N15,0)+IFERROR(N11/N16,0)+IFERROR(N12/N17,0)+IFERROR(N13/N18,0)+IFERROR(N14/N19,0))</f>
        <v>2.7425211448380269</v>
      </c>
      <c r="O28" s="31">
        <f t="shared" ref="O28:Q28" si="4">(IFERROR(O10/O15,0)+IFERROR(O11/O16,0)+IFERROR(O12/O17,0)+IFERROR(O13/O18,0)+IFERROR(O14/O19,0))</f>
        <v>2.7425211448380269</v>
      </c>
      <c r="P28" s="31">
        <f t="shared" si="4"/>
        <v>10</v>
      </c>
      <c r="Q28" s="31">
        <f t="shared" si="4"/>
        <v>0</v>
      </c>
      <c r="R28" s="31">
        <f>(IFERROR(R10/R15,0)+IFERROR(R11/R16,0)+IFERROR(R12/R17,0)+IFERROR(R13/R18,0)+IFERROR(R14/R19,0))</f>
        <v>0</v>
      </c>
      <c r="S28" s="31"/>
      <c r="T28" s="44">
        <v>25</v>
      </c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</row>
    <row r="29" spans="1:31" x14ac:dyDescent="0.2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52" t="s">
        <v>44</v>
      </c>
      <c r="L29" s="36">
        <f>L21/$B$3</f>
        <v>6.7201102739395521E-3</v>
      </c>
      <c r="M29" s="36">
        <f>M21/$B$3</f>
        <v>1.3440220547879106E-3</v>
      </c>
      <c r="N29" s="36">
        <f>N21/$B$3</f>
        <v>1.3421996297405007E-3</v>
      </c>
      <c r="O29" s="36">
        <f>O21/$B$3</f>
        <v>1.3421996297405007E-3</v>
      </c>
      <c r="P29" s="36">
        <f t="shared" ref="P29" si="5">P21/$B$3</f>
        <v>2.6880441095758212E-3</v>
      </c>
      <c r="Q29" s="36">
        <f>Q21/$B$3</f>
        <v>0</v>
      </c>
      <c r="R29" s="36">
        <f>R21/$B$3</f>
        <v>1.3197945218046971E-3</v>
      </c>
      <c r="S29" s="36"/>
      <c r="T29" s="44">
        <v>26</v>
      </c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</row>
    <row r="30" spans="1:31" ht="15" customHeight="1" x14ac:dyDescent="0.2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52" t="s">
        <v>45</v>
      </c>
      <c r="L30" s="31">
        <f>L29*$G$24</f>
        <v>46.311500576707417</v>
      </c>
      <c r="M30" s="32">
        <f>M29*$G$24</f>
        <v>9.2623001153414837</v>
      </c>
      <c r="N30" s="32">
        <v>70.456285047725174</v>
      </c>
      <c r="O30" s="37">
        <f>N30</f>
        <v>70.456285047725174</v>
      </c>
      <c r="P30" s="31">
        <f t="shared" ref="P30:R30" si="6">P29*$G$24</f>
        <v>18.524600230682967</v>
      </c>
      <c r="Q30" s="31">
        <f t="shared" si="6"/>
        <v>0</v>
      </c>
      <c r="R30" s="31">
        <f t="shared" si="6"/>
        <v>9.0953365742705241</v>
      </c>
      <c r="S30" s="31"/>
      <c r="T30" s="44">
        <v>27</v>
      </c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</row>
    <row r="31" spans="1:31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52" t="s">
        <v>46</v>
      </c>
      <c r="L31" s="31">
        <f t="shared" ref="L31:Q31" si="7">L26/L27</f>
        <v>32.1</v>
      </c>
      <c r="M31" s="31">
        <f>M26/M27</f>
        <v>32.1</v>
      </c>
      <c r="N31" s="31">
        <f>N26/N27</f>
        <v>256.8</v>
      </c>
      <c r="O31" s="31">
        <f>O26/O27</f>
        <v>128.4</v>
      </c>
      <c r="P31" s="31">
        <f t="shared" si="7"/>
        <v>32.1</v>
      </c>
      <c r="Q31" s="31">
        <f t="shared" si="7"/>
        <v>0</v>
      </c>
      <c r="R31" s="31">
        <f>R26/R27</f>
        <v>0</v>
      </c>
      <c r="S31" s="31"/>
      <c r="T31" s="44">
        <v>28</v>
      </c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</row>
    <row r="32" spans="1:31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50"/>
      <c r="L32" s="38"/>
      <c r="M32" s="38"/>
      <c r="N32" s="38"/>
      <c r="O32" s="38"/>
      <c r="P32" s="38"/>
      <c r="Q32" s="38"/>
      <c r="R32" s="38"/>
      <c r="S32" s="38"/>
      <c r="T32" s="44">
        <v>29</v>
      </c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</row>
    <row r="33" spans="1:31" x14ac:dyDescent="0.2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50"/>
      <c r="L33" s="44"/>
      <c r="M33" s="44"/>
      <c r="N33" s="44"/>
      <c r="O33" s="44"/>
      <c r="P33" s="44"/>
      <c r="Q33" s="44"/>
      <c r="R33" s="44"/>
      <c r="S33" s="44"/>
      <c r="T33" s="44">
        <v>30</v>
      </c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</row>
    <row r="34" spans="1:31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50" t="s">
        <v>40</v>
      </c>
      <c r="L34" s="31">
        <f>L31+L30+L28</f>
        <v>78.411500576707425</v>
      </c>
      <c r="M34" s="31">
        <f t="shared" ref="M34:R34" si="8">M31+M30+M28</f>
        <v>44.104821260179513</v>
      </c>
      <c r="N34" s="31">
        <f>N31+N30+N28</f>
        <v>329.99880619256322</v>
      </c>
      <c r="O34" s="31">
        <f t="shared" si="8"/>
        <v>201.59880619256322</v>
      </c>
      <c r="P34" s="31">
        <f t="shared" si="8"/>
        <v>60.624600230682972</v>
      </c>
      <c r="Q34" s="31">
        <f t="shared" si="8"/>
        <v>0</v>
      </c>
      <c r="R34" s="31">
        <f t="shared" si="8"/>
        <v>9.0953365742705241</v>
      </c>
      <c r="S34" s="31"/>
      <c r="T34" s="44">
        <v>31</v>
      </c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</row>
    <row r="35" spans="1:31" ht="15" customHeight="1" x14ac:dyDescent="0.2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50" t="s">
        <v>47</v>
      </c>
      <c r="L35" s="40">
        <f>(L30+L28)/L26</f>
        <v>7.2136293733189125E-2</v>
      </c>
      <c r="M35" s="40">
        <f t="shared" ref="M35:R35" si="9">(M30+M28)/M26</f>
        <v>1.8699098536105158E-2</v>
      </c>
      <c r="N35" s="40">
        <f t="shared" si="9"/>
        <v>0.11401683207564361</v>
      </c>
      <c r="O35" s="40">
        <f t="shared" si="9"/>
        <v>0.11401683207564361</v>
      </c>
      <c r="P35" s="40">
        <f t="shared" si="9"/>
        <v>4.4430841480814588E-2</v>
      </c>
      <c r="Q35" s="40" t="e">
        <f t="shared" si="9"/>
        <v>#DIV/0!</v>
      </c>
      <c r="R35" s="40" t="e">
        <f t="shared" si="9"/>
        <v>#DIV/0!</v>
      </c>
      <c r="S35" s="40"/>
      <c r="T35" s="44">
        <v>32</v>
      </c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</row>
    <row r="36" spans="1:31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50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</row>
    <row r="37" spans="1:31" x14ac:dyDescent="0.25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50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</row>
    <row r="38" spans="1:31" x14ac:dyDescent="0.25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50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</row>
    <row r="39" spans="1:31" x14ac:dyDescent="0.25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50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</row>
    <row r="40" spans="1:31" ht="15" customHeight="1" x14ac:dyDescent="0.2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50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</row>
    <row r="41" spans="1:31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50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</row>
    <row r="42" spans="1:31" x14ac:dyDescent="0.2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50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</row>
    <row r="43" spans="1:31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50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</row>
    <row r="44" spans="1:31" x14ac:dyDescent="0.25"/>
    <row r="45" spans="1:31" x14ac:dyDescent="0.25"/>
    <row r="46" spans="1:31" ht="15" customHeight="1" x14ac:dyDescent="0.25"/>
    <row r="47" spans="1:31" x14ac:dyDescent="0.25"/>
    <row r="48" spans="1:31" x14ac:dyDescent="0.25"/>
    <row r="49" x14ac:dyDescent="0.25"/>
    <row r="50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t="15" hidden="1" customHeight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t="15.75" hidden="1" customHeight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t="15" hidden="1" customHeight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t="15" hidden="1" customHeight="1" x14ac:dyDescent="0.25"/>
    <row r="90" hidden="1" x14ac:dyDescent="0.25"/>
    <row r="91" ht="15" hidden="1" customHeight="1" x14ac:dyDescent="0.25"/>
    <row r="92" hidden="1" x14ac:dyDescent="0.25"/>
    <row r="93" hidden="1" x14ac:dyDescent="0.25"/>
    <row r="94" ht="15" hidden="1" customHeight="1" x14ac:dyDescent="0.25"/>
    <row r="95" hidden="1" x14ac:dyDescent="0.25"/>
    <row r="96" hidden="1" x14ac:dyDescent="0.25"/>
    <row r="97" hidden="1" x14ac:dyDescent="0.25"/>
    <row r="98" hidden="1" x14ac:dyDescent="0.25"/>
    <row r="99" ht="15" hidden="1" customHeight="1" x14ac:dyDescent="0.25"/>
    <row r="100" hidden="1" x14ac:dyDescent="0.25"/>
    <row r="101" hidden="1" x14ac:dyDescent="0.25"/>
    <row r="102" hidden="1" x14ac:dyDescent="0.25"/>
    <row r="103" hidden="1" x14ac:dyDescent="0.25"/>
    <row r="104" ht="15" hidden="1" customHeight="1" x14ac:dyDescent="0.25"/>
    <row r="105" hidden="1" x14ac:dyDescent="0.25"/>
    <row r="106" hidden="1" x14ac:dyDescent="0.25"/>
    <row r="107" hidden="1" x14ac:dyDescent="0.25"/>
    <row r="108" hidden="1" x14ac:dyDescent="0.25"/>
    <row r="109" ht="15" hidden="1" customHeight="1" x14ac:dyDescent="0.25"/>
    <row r="110" hidden="1" x14ac:dyDescent="0.25"/>
    <row r="111" hidden="1" x14ac:dyDescent="0.25"/>
    <row r="112" hidden="1" x14ac:dyDescent="0.25"/>
    <row r="113" hidden="1" x14ac:dyDescent="0.25"/>
    <row r="114" ht="15" hidden="1" customHeight="1" x14ac:dyDescent="0.25"/>
  </sheetData>
  <mergeCells count="9">
    <mergeCell ref="Q5:Q6"/>
    <mergeCell ref="R5:R6"/>
    <mergeCell ref="S5:S6"/>
    <mergeCell ref="K5:K6"/>
    <mergeCell ref="L5:L6"/>
    <mergeCell ref="M5:M6"/>
    <mergeCell ref="N5:N6"/>
    <mergeCell ref="O5:O6"/>
    <mergeCell ref="P5:P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4"/>
  <sheetViews>
    <sheetView showGridLines="0" zoomScale="60" zoomScaleNormal="60" workbookViewId="0">
      <selection activeCell="B30" sqref="B30"/>
    </sheetView>
  </sheetViews>
  <sheetFormatPr defaultColWidth="0" defaultRowHeight="15" zeroHeight="1" x14ac:dyDescent="0.25"/>
  <cols>
    <col min="1" max="1" width="34.7109375" customWidth="1"/>
    <col min="2" max="3" width="13.7109375" customWidth="1"/>
    <col min="4" max="4" width="14.140625" customWidth="1"/>
    <col min="5" max="5" width="14.42578125" customWidth="1"/>
    <col min="6" max="6" width="13.42578125" customWidth="1"/>
    <col min="7" max="7" width="24.28515625" bestFit="1" customWidth="1"/>
    <col min="8" max="10" width="4.140625" customWidth="1"/>
    <col min="11" max="11" width="25.5703125" style="64" bestFit="1" customWidth="1"/>
    <col min="12" max="12" width="18.85546875" customWidth="1"/>
    <col min="13" max="13" width="16.85546875" customWidth="1"/>
    <col min="14" max="14" width="17" customWidth="1"/>
    <col min="15" max="15" width="18.42578125" customWidth="1"/>
    <col min="16" max="16" width="15.85546875" customWidth="1"/>
    <col min="17" max="17" width="17.85546875" customWidth="1"/>
    <col min="18" max="18" width="16.5703125" customWidth="1"/>
    <col min="19" max="19" width="14" customWidth="1"/>
    <col min="20" max="23" width="4.42578125" customWidth="1"/>
    <col min="24" max="24" width="9.140625" customWidth="1"/>
    <col min="25" max="25" width="26.5703125" customWidth="1"/>
    <col min="26" max="26" width="14.42578125" customWidth="1"/>
    <col min="27" max="27" width="14.5703125" customWidth="1"/>
    <col min="28" max="28" width="14.85546875" customWidth="1"/>
    <col min="29" max="29" width="9.5703125" customWidth="1"/>
    <col min="30" max="32" width="9.140625" customWidth="1"/>
    <col min="34" max="16384" width="9.140625" hidden="1"/>
  </cols>
  <sheetData>
    <row r="1" spans="1:32" ht="35.25" customHeight="1" x14ac:dyDescent="0.25">
      <c r="A1" s="55" t="s">
        <v>49</v>
      </c>
      <c r="B1" s="61"/>
      <c r="C1" s="55"/>
      <c r="D1" s="61"/>
      <c r="E1" s="61"/>
      <c r="F1" s="55"/>
      <c r="G1" s="61"/>
      <c r="H1" s="61"/>
      <c r="I1" s="61"/>
      <c r="J1" s="61"/>
      <c r="K1" s="58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55"/>
      <c r="Y1" s="61"/>
      <c r="Z1" s="61"/>
      <c r="AA1" s="61"/>
      <c r="AB1" s="61"/>
      <c r="AC1" s="61"/>
      <c r="AD1" s="61"/>
      <c r="AE1" s="61"/>
      <c r="AF1" s="52"/>
    </row>
    <row r="2" spans="1:32" ht="17.25" customHeight="1" x14ac:dyDescent="0.25">
      <c r="A2" s="42" t="s">
        <v>0</v>
      </c>
      <c r="B2" s="43"/>
      <c r="C2" s="43"/>
      <c r="D2" s="43"/>
      <c r="E2" s="43"/>
      <c r="F2" s="43"/>
      <c r="G2" s="43"/>
      <c r="H2" s="44"/>
      <c r="I2" s="44"/>
      <c r="J2" s="44"/>
      <c r="K2" s="62"/>
      <c r="L2" s="42" t="s">
        <v>96</v>
      </c>
      <c r="M2" s="43"/>
      <c r="N2" s="43"/>
      <c r="O2" s="43"/>
      <c r="P2" s="43"/>
      <c r="Q2" s="43"/>
      <c r="R2" s="43"/>
      <c r="S2" s="43"/>
      <c r="T2" s="44"/>
      <c r="U2" s="44"/>
      <c r="V2" s="44"/>
      <c r="W2" s="44"/>
      <c r="X2" s="42" t="s">
        <v>87</v>
      </c>
      <c r="Y2" s="43"/>
      <c r="Z2" s="42" t="s">
        <v>88</v>
      </c>
      <c r="AA2" s="43"/>
      <c r="AB2" s="43"/>
      <c r="AC2" s="43"/>
      <c r="AD2" s="43"/>
      <c r="AE2" s="43"/>
      <c r="AF2" s="44"/>
    </row>
    <row r="3" spans="1:32" ht="15" customHeight="1" x14ac:dyDescent="0.25">
      <c r="A3" s="44" t="s">
        <v>53</v>
      </c>
      <c r="B3" s="26">
        <f>NUM_NEUTRAL_SCREEN*3</f>
        <v>43428</v>
      </c>
      <c r="C3" s="44" t="s">
        <v>108</v>
      </c>
      <c r="D3" s="44"/>
      <c r="E3" s="44"/>
      <c r="F3" s="44"/>
      <c r="G3" s="44"/>
      <c r="H3" s="44"/>
      <c r="I3" s="44"/>
      <c r="J3" s="44"/>
      <c r="K3" s="62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>
        <v>28</v>
      </c>
      <c r="AA3" s="44">
        <v>25</v>
      </c>
      <c r="AB3" s="44">
        <v>27</v>
      </c>
      <c r="AC3" s="44">
        <v>18</v>
      </c>
      <c r="AD3" s="44"/>
      <c r="AE3" s="44"/>
      <c r="AF3" s="44"/>
    </row>
    <row r="4" spans="1:32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62" t="s">
        <v>1</v>
      </c>
      <c r="L4" s="44" t="s">
        <v>2</v>
      </c>
      <c r="M4" s="44" t="s">
        <v>3</v>
      </c>
      <c r="N4" s="44" t="s">
        <v>4</v>
      </c>
      <c r="O4" s="44" t="s">
        <v>5</v>
      </c>
      <c r="P4" s="44" t="s">
        <v>6</v>
      </c>
      <c r="Q4" s="44" t="s">
        <v>7</v>
      </c>
      <c r="R4" s="44" t="s">
        <v>8</v>
      </c>
      <c r="S4" s="44" t="s">
        <v>9</v>
      </c>
      <c r="T4" s="44">
        <v>1</v>
      </c>
      <c r="U4" s="44"/>
      <c r="V4" s="44"/>
      <c r="W4" s="44"/>
      <c r="X4" s="3"/>
      <c r="Y4" s="3"/>
      <c r="Z4" s="3" t="s">
        <v>91</v>
      </c>
      <c r="AA4" s="3" t="s">
        <v>90</v>
      </c>
      <c r="AB4" s="3" t="s">
        <v>10</v>
      </c>
      <c r="AC4" s="3" t="s">
        <v>11</v>
      </c>
      <c r="AD4" s="3" t="s">
        <v>40</v>
      </c>
      <c r="AE4" s="3"/>
      <c r="AF4" s="44"/>
    </row>
    <row r="5" spans="1:32" x14ac:dyDescent="0.25">
      <c r="A5" s="44" t="s">
        <v>12</v>
      </c>
      <c r="B5" s="25">
        <f>COST_REPL_SERVICE</f>
        <v>642</v>
      </c>
      <c r="C5" s="44"/>
      <c r="D5" s="44"/>
      <c r="E5" s="44"/>
      <c r="F5" s="44"/>
      <c r="G5" s="44"/>
      <c r="H5" s="45"/>
      <c r="I5" s="44"/>
      <c r="J5" s="44"/>
      <c r="K5" s="63" t="s">
        <v>13</v>
      </c>
      <c r="L5" s="34" t="s">
        <v>97</v>
      </c>
      <c r="M5" s="34" t="s">
        <v>141</v>
      </c>
      <c r="N5" s="34" t="s">
        <v>146</v>
      </c>
      <c r="O5" s="34" t="s">
        <v>147</v>
      </c>
      <c r="P5" s="34"/>
      <c r="Q5" s="34"/>
      <c r="R5" s="34"/>
      <c r="S5" s="34"/>
      <c r="T5" s="44">
        <v>2</v>
      </c>
      <c r="U5" s="44"/>
      <c r="V5" s="44"/>
      <c r="W5" s="44"/>
      <c r="X5" s="3" t="s">
        <v>2</v>
      </c>
      <c r="Y5" s="3" t="str">
        <f>HLOOKUP(X5,$L$4:$S$6,2,FALSE)</f>
        <v>Do No maintenance</v>
      </c>
      <c r="Z5" s="31">
        <f>HLOOKUP($X5,$L$4:$S$35,Z$3,FALSE)</f>
        <v>27.472997723421376</v>
      </c>
      <c r="AA5" s="31">
        <f>HLOOKUP($X5,$L$4:$S$35,AA$3,FALSE)</f>
        <v>0</v>
      </c>
      <c r="AB5" s="31">
        <f>HLOOKUP($X5,$L$4:$S$35,AB$3,FALSE)</f>
        <v>3948.0851596279008</v>
      </c>
      <c r="AC5" s="24">
        <f>HLOOKUP($X5,$L$4:$S$35,AC$3,FALSE)</f>
        <v>1181.319415952697</v>
      </c>
      <c r="AD5" s="33">
        <f t="shared" ref="AD5:AD11" si="0">Z5+AA5+AB5</f>
        <v>3975.5581573513223</v>
      </c>
      <c r="AE5" s="3"/>
      <c r="AF5" s="44"/>
    </row>
    <row r="6" spans="1:32" x14ac:dyDescent="0.25">
      <c r="A6" s="44" t="s">
        <v>52</v>
      </c>
      <c r="B6" s="26">
        <f>NUM_ABC+NUM_NEUTRAL_SCREEN+NUM_OTHER_OVERHEAD+NUM_PVC_TWIST</f>
        <v>364628</v>
      </c>
      <c r="C6" s="44"/>
      <c r="D6" s="44"/>
      <c r="E6" s="44"/>
      <c r="F6" s="44"/>
      <c r="G6" s="44"/>
      <c r="H6" s="44"/>
      <c r="I6" s="44"/>
      <c r="J6" s="44"/>
      <c r="K6" s="63"/>
      <c r="L6" s="34"/>
      <c r="M6" s="34"/>
      <c r="N6" s="34"/>
      <c r="O6" s="34"/>
      <c r="P6" s="34"/>
      <c r="Q6" s="34"/>
      <c r="R6" s="34"/>
      <c r="S6" s="34"/>
      <c r="T6" s="44">
        <v>3</v>
      </c>
      <c r="U6" s="44"/>
      <c r="V6" s="44"/>
      <c r="W6" s="44"/>
      <c r="X6" s="3" t="s">
        <v>3</v>
      </c>
      <c r="Y6" s="3" t="str">
        <f t="shared" ref="Y6:Y12" si="1">HLOOKUP(X6,$L$4:$S$6,2,FALSE)</f>
        <v>Condition Monitoring</v>
      </c>
      <c r="Z6" s="31">
        <f t="shared" ref="Z6:AC12" si="2">HLOOKUP($X6,$L$4:$S$35,Z$3,FALSE)</f>
        <v>27.472997723421376</v>
      </c>
      <c r="AA6" s="31">
        <f t="shared" si="2"/>
        <v>0</v>
      </c>
      <c r="AB6" s="31">
        <f t="shared" si="2"/>
        <v>789.61703192558014</v>
      </c>
      <c r="AC6" s="24">
        <f t="shared" si="2"/>
        <v>236.26388319053942</v>
      </c>
      <c r="AD6" s="33">
        <f t="shared" si="0"/>
        <v>817.09002964900151</v>
      </c>
      <c r="AE6" s="3"/>
      <c r="AF6" s="44"/>
    </row>
    <row r="7" spans="1:32" x14ac:dyDescent="0.25">
      <c r="A7" s="44" t="s">
        <v>14</v>
      </c>
      <c r="B7" s="3">
        <f>SUM(B18:F18)</f>
        <v>236.26388319053942</v>
      </c>
      <c r="C7" s="44" t="s">
        <v>15</v>
      </c>
      <c r="D7" s="44"/>
      <c r="E7" s="44"/>
      <c r="F7" s="44"/>
      <c r="G7" s="44"/>
      <c r="H7" s="44"/>
      <c r="I7" s="44"/>
      <c r="J7" s="44"/>
      <c r="K7" s="62" t="s">
        <v>16</v>
      </c>
      <c r="L7" s="35">
        <f>B5</f>
        <v>642</v>
      </c>
      <c r="M7" s="35">
        <f>L7</f>
        <v>642</v>
      </c>
      <c r="N7" s="35">
        <f>COST_REPL_SERVICE</f>
        <v>642</v>
      </c>
      <c r="O7" s="35">
        <f>N7</f>
        <v>642</v>
      </c>
      <c r="P7" s="35"/>
      <c r="Q7" s="35"/>
      <c r="R7" s="35"/>
      <c r="S7" s="35"/>
      <c r="T7" s="44">
        <v>4</v>
      </c>
      <c r="U7" s="44"/>
      <c r="V7" s="44"/>
      <c r="W7" s="44"/>
      <c r="X7" s="3" t="s">
        <v>4</v>
      </c>
      <c r="Y7" s="3" t="str">
        <f t="shared" si="1"/>
        <v>Proactive Replacement - 5Y</v>
      </c>
      <c r="Z7" s="31">
        <f t="shared" si="2"/>
        <v>128.4</v>
      </c>
      <c r="AA7" s="31">
        <f t="shared" si="2"/>
        <v>0</v>
      </c>
      <c r="AB7" s="31">
        <f t="shared" si="2"/>
        <v>488.82821937571578</v>
      </c>
      <c r="AC7" s="24">
        <f t="shared" si="2"/>
        <v>146.26388319053939</v>
      </c>
      <c r="AD7" s="33">
        <f t="shared" si="0"/>
        <v>617.22821937571575</v>
      </c>
      <c r="AE7" s="3"/>
      <c r="AF7" s="44"/>
    </row>
    <row r="8" spans="1:32" x14ac:dyDescent="0.25">
      <c r="A8" s="44" t="s">
        <v>17</v>
      </c>
      <c r="B8" s="3">
        <f>B7/B3*1000</f>
        <v>5.4403583676554161</v>
      </c>
      <c r="C8" s="44" t="s">
        <v>107</v>
      </c>
      <c r="D8" s="44"/>
      <c r="E8" s="44"/>
      <c r="F8" s="44"/>
      <c r="G8" s="44"/>
      <c r="H8" s="44"/>
      <c r="I8" s="44"/>
      <c r="J8" s="44"/>
      <c r="K8" s="62" t="s">
        <v>57</v>
      </c>
      <c r="L8" s="27"/>
      <c r="M8" s="27"/>
      <c r="N8" s="27"/>
      <c r="O8" s="27"/>
      <c r="P8" s="27"/>
      <c r="Q8" s="27"/>
      <c r="R8" s="27"/>
      <c r="S8" s="27"/>
      <c r="T8" s="44">
        <v>5</v>
      </c>
      <c r="U8" s="44"/>
      <c r="V8" s="44"/>
      <c r="W8" s="44"/>
      <c r="X8" s="3" t="s">
        <v>5</v>
      </c>
      <c r="Y8" s="3" t="str">
        <f t="shared" si="1"/>
        <v>Proactive Replacement - 10Y</v>
      </c>
      <c r="Z8" s="31">
        <f t="shared" si="2"/>
        <v>64.2</v>
      </c>
      <c r="AA8" s="31">
        <f t="shared" si="2"/>
        <v>0</v>
      </c>
      <c r="AB8" s="31">
        <f t="shared" si="2"/>
        <v>488.82821937571578</v>
      </c>
      <c r="AC8" s="24">
        <f t="shared" si="2"/>
        <v>146.26388319053939</v>
      </c>
      <c r="AD8" s="33">
        <f t="shared" si="0"/>
        <v>553.02821937571582</v>
      </c>
      <c r="AE8" s="3"/>
      <c r="AF8" s="44"/>
    </row>
    <row r="9" spans="1:32" x14ac:dyDescent="0.25">
      <c r="A9" s="44" t="s">
        <v>18</v>
      </c>
      <c r="B9" s="26" t="s">
        <v>3</v>
      </c>
      <c r="C9" s="44"/>
      <c r="D9" s="44"/>
      <c r="E9" s="45"/>
      <c r="F9" s="44"/>
      <c r="G9" s="44"/>
      <c r="H9" s="44"/>
      <c r="I9" s="44"/>
      <c r="J9" s="44"/>
      <c r="K9" s="62"/>
      <c r="L9" s="44"/>
      <c r="M9" s="44"/>
      <c r="N9" s="44"/>
      <c r="O9" s="44"/>
      <c r="P9" s="44"/>
      <c r="Q9" s="44"/>
      <c r="R9" s="44"/>
      <c r="S9" s="44"/>
      <c r="T9" s="44">
        <v>6</v>
      </c>
      <c r="U9" s="44"/>
      <c r="V9" s="44"/>
      <c r="W9" s="44"/>
      <c r="X9" s="3" t="s">
        <v>6</v>
      </c>
      <c r="Y9" s="3">
        <f t="shared" si="1"/>
        <v>0</v>
      </c>
      <c r="Z9" s="31">
        <f t="shared" si="2"/>
        <v>0</v>
      </c>
      <c r="AA9" s="31">
        <f t="shared" si="2"/>
        <v>0</v>
      </c>
      <c r="AB9" s="31">
        <f t="shared" si="2"/>
        <v>0</v>
      </c>
      <c r="AC9" s="24">
        <f t="shared" si="2"/>
        <v>0</v>
      </c>
      <c r="AD9" s="33">
        <f t="shared" si="0"/>
        <v>0</v>
      </c>
      <c r="AE9" s="3"/>
      <c r="AF9" s="44"/>
    </row>
    <row r="10" spans="1:32" ht="15" customHeight="1" x14ac:dyDescent="0.25">
      <c r="A10" s="44" t="s">
        <v>19</v>
      </c>
      <c r="B10" s="24">
        <f>B3/B11</f>
        <v>23.368399999999998</v>
      </c>
      <c r="C10" s="44" t="s">
        <v>20</v>
      </c>
      <c r="D10" s="44"/>
      <c r="E10" s="44"/>
      <c r="F10" s="44"/>
      <c r="G10" s="46"/>
      <c r="H10" s="44"/>
      <c r="I10" s="44"/>
      <c r="J10" s="44"/>
      <c r="K10" s="62" t="s">
        <v>110</v>
      </c>
      <c r="L10" s="27"/>
      <c r="M10" s="27"/>
      <c r="N10" s="27"/>
      <c r="O10" s="27"/>
      <c r="P10" s="27"/>
      <c r="Q10" s="27"/>
      <c r="R10" s="27"/>
      <c r="S10" s="27"/>
      <c r="T10" s="44">
        <v>7</v>
      </c>
      <c r="U10" s="44"/>
      <c r="V10" s="44"/>
      <c r="W10" s="44"/>
      <c r="X10" s="3" t="s">
        <v>7</v>
      </c>
      <c r="Y10" s="3">
        <f t="shared" si="1"/>
        <v>0</v>
      </c>
      <c r="Z10" s="31">
        <f>HLOOKUP($X10,$L$4:$S$35,Z$3,FALSE)</f>
        <v>0</v>
      </c>
      <c r="AA10" s="31">
        <f t="shared" si="2"/>
        <v>0</v>
      </c>
      <c r="AB10" s="31">
        <f t="shared" si="2"/>
        <v>0</v>
      </c>
      <c r="AC10" s="24">
        <f t="shared" si="2"/>
        <v>0</v>
      </c>
      <c r="AD10" s="33">
        <f t="shared" si="0"/>
        <v>0</v>
      </c>
      <c r="AE10" s="3"/>
      <c r="AF10" s="44"/>
    </row>
    <row r="11" spans="1:32" x14ac:dyDescent="0.25">
      <c r="A11" s="44" t="s">
        <v>50</v>
      </c>
      <c r="B11" s="26">
        <f>NUM_REPL_ANNUAL*NS_Failures_yr/FAULTS_ANNUAL_MECH</f>
        <v>1858.4070796460178</v>
      </c>
      <c r="C11" s="44" t="s">
        <v>108</v>
      </c>
      <c r="D11" s="44"/>
      <c r="E11" s="44"/>
      <c r="F11" s="44"/>
      <c r="G11" s="44"/>
      <c r="H11" s="44"/>
      <c r="I11" s="44"/>
      <c r="J11" s="44"/>
      <c r="K11" s="62" t="s">
        <v>98</v>
      </c>
      <c r="L11" s="27"/>
      <c r="M11" s="27"/>
      <c r="N11" s="27"/>
      <c r="O11" s="27"/>
      <c r="P11" s="27"/>
      <c r="Q11" s="27"/>
      <c r="R11" s="27"/>
      <c r="S11" s="27"/>
      <c r="T11" s="44">
        <v>8</v>
      </c>
      <c r="U11" s="44"/>
      <c r="V11" s="44"/>
      <c r="W11" s="44"/>
      <c r="X11" s="3" t="s">
        <v>8</v>
      </c>
      <c r="Y11" s="3">
        <f t="shared" si="1"/>
        <v>0</v>
      </c>
      <c r="Z11" s="31">
        <f t="shared" si="2"/>
        <v>0</v>
      </c>
      <c r="AA11" s="31">
        <f t="shared" si="2"/>
        <v>0</v>
      </c>
      <c r="AB11" s="31">
        <f t="shared" si="2"/>
        <v>488.82821937571578</v>
      </c>
      <c r="AC11" s="24">
        <f t="shared" si="2"/>
        <v>146.26388319053939</v>
      </c>
      <c r="AD11" s="33">
        <f t="shared" si="0"/>
        <v>488.82821937571578</v>
      </c>
      <c r="AE11" s="3"/>
      <c r="AF11" s="44"/>
    </row>
    <row r="12" spans="1:32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62" t="s">
        <v>21</v>
      </c>
      <c r="L12" s="27"/>
      <c r="M12" s="27"/>
      <c r="N12" s="27"/>
      <c r="O12" s="27"/>
      <c r="P12" s="27"/>
      <c r="Q12" s="27"/>
      <c r="R12" s="27"/>
      <c r="S12" s="27"/>
      <c r="T12" s="44">
        <v>9</v>
      </c>
      <c r="U12" s="44"/>
      <c r="V12" s="44"/>
      <c r="W12" s="44"/>
      <c r="X12" s="3" t="s">
        <v>9</v>
      </c>
      <c r="Y12" s="3">
        <f t="shared" si="1"/>
        <v>0</v>
      </c>
      <c r="Z12" s="31">
        <f t="shared" si="2"/>
        <v>0</v>
      </c>
      <c r="AA12" s="31">
        <f t="shared" si="2"/>
        <v>0</v>
      </c>
      <c r="AB12" s="31">
        <f t="shared" si="2"/>
        <v>0</v>
      </c>
      <c r="AC12" s="3">
        <f t="shared" si="2"/>
        <v>0</v>
      </c>
      <c r="AD12" s="3"/>
      <c r="AE12" s="3"/>
      <c r="AF12" s="44"/>
    </row>
    <row r="13" spans="1:32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62" t="s">
        <v>22</v>
      </c>
      <c r="L13" s="27"/>
      <c r="M13" s="27"/>
      <c r="N13" s="27"/>
      <c r="O13" s="27"/>
      <c r="P13" s="27"/>
      <c r="Q13" s="27"/>
      <c r="R13" s="27"/>
      <c r="S13" s="27"/>
      <c r="T13" s="44">
        <v>10</v>
      </c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2" x14ac:dyDescent="0.25">
      <c r="A14" s="44"/>
      <c r="B14" s="44"/>
      <c r="C14" s="44"/>
      <c r="D14" s="47"/>
      <c r="E14" s="44"/>
      <c r="F14" s="44"/>
      <c r="G14" s="44"/>
      <c r="H14" s="44"/>
      <c r="I14" s="44"/>
      <c r="J14" s="44"/>
      <c r="K14" s="62" t="s">
        <v>23</v>
      </c>
      <c r="L14" s="27"/>
      <c r="M14" s="27"/>
      <c r="N14" s="27"/>
      <c r="O14" s="27"/>
      <c r="P14" s="27"/>
      <c r="Q14" s="27"/>
      <c r="R14" s="27"/>
      <c r="S14" s="27"/>
      <c r="T14" s="44">
        <v>11</v>
      </c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2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62" t="s">
        <v>24</v>
      </c>
      <c r="L15" s="27"/>
      <c r="M15" s="27"/>
      <c r="N15" s="27"/>
      <c r="O15" s="27"/>
      <c r="P15" s="27"/>
      <c r="Q15" s="27"/>
      <c r="R15" s="27">
        <v>1</v>
      </c>
      <c r="S15" s="27"/>
      <c r="T15" s="44">
        <v>12</v>
      </c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2" x14ac:dyDescent="0.25">
      <c r="A16" s="48" t="s">
        <v>25</v>
      </c>
      <c r="B16" s="48" t="s">
        <v>26</v>
      </c>
      <c r="C16" s="48" t="s">
        <v>27</v>
      </c>
      <c r="D16" s="48" t="s">
        <v>28</v>
      </c>
      <c r="E16" s="48" t="s">
        <v>29</v>
      </c>
      <c r="F16" s="48" t="s">
        <v>30</v>
      </c>
      <c r="G16" s="48" t="s">
        <v>31</v>
      </c>
      <c r="H16" s="44"/>
      <c r="I16" s="44"/>
      <c r="J16" s="44"/>
      <c r="K16" s="62" t="s">
        <v>32</v>
      </c>
      <c r="L16" s="27"/>
      <c r="M16" s="27"/>
      <c r="N16" s="27"/>
      <c r="O16" s="27"/>
      <c r="P16" s="27"/>
      <c r="Q16" s="27"/>
      <c r="R16" s="27">
        <v>1</v>
      </c>
      <c r="S16" s="27"/>
      <c r="T16" s="44">
        <v>13</v>
      </c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</row>
    <row r="17" spans="1:32" x14ac:dyDescent="0.25">
      <c r="A17" s="44" t="s">
        <v>13</v>
      </c>
      <c r="B17" s="27" t="s">
        <v>128</v>
      </c>
      <c r="C17" s="27" t="s">
        <v>94</v>
      </c>
      <c r="D17" s="27" t="s">
        <v>55</v>
      </c>
      <c r="E17" s="27"/>
      <c r="F17" s="27"/>
      <c r="G17" s="3"/>
      <c r="H17" s="44"/>
      <c r="I17" s="44"/>
      <c r="J17" s="44"/>
      <c r="K17" s="62" t="s">
        <v>33</v>
      </c>
      <c r="L17" s="27"/>
      <c r="M17" s="27"/>
      <c r="N17" s="27"/>
      <c r="O17" s="27"/>
      <c r="P17" s="27"/>
      <c r="Q17" s="27"/>
      <c r="R17" s="27"/>
      <c r="S17" s="27"/>
      <c r="T17" s="44">
        <v>14</v>
      </c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</row>
    <row r="18" spans="1:32" x14ac:dyDescent="0.25">
      <c r="A18" s="44" t="s">
        <v>56</v>
      </c>
      <c r="B18" s="27">
        <f>NS_Failures_yr*3</f>
        <v>180</v>
      </c>
      <c r="C18" s="28">
        <f>FAULTS_ANNUAL_VEG*B3/B6</f>
        <v>54.26296609146857</v>
      </c>
      <c r="D18" s="28">
        <f>FAULTS_ANN_VEH*B3/B6</f>
        <v>2.000917099070834</v>
      </c>
      <c r="E18" s="27"/>
      <c r="F18" s="27"/>
      <c r="G18" s="3"/>
      <c r="H18" s="44"/>
      <c r="I18" s="44"/>
      <c r="J18" s="44"/>
      <c r="K18" s="62" t="s">
        <v>35</v>
      </c>
      <c r="L18" s="27"/>
      <c r="M18" s="27"/>
      <c r="N18" s="27"/>
      <c r="O18" s="27"/>
      <c r="P18" s="27"/>
      <c r="Q18" s="27"/>
      <c r="R18" s="27"/>
      <c r="S18" s="27"/>
      <c r="T18" s="44">
        <v>15</v>
      </c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</row>
    <row r="19" spans="1:32" x14ac:dyDescent="0.25">
      <c r="A19" s="44" t="s">
        <v>34</v>
      </c>
      <c r="B19" s="29">
        <f>POC_OUTAGE*COC_OUTAGE</f>
        <v>6.3000000000000007</v>
      </c>
      <c r="C19" s="29">
        <f>POC_OUTAGE*COC_OUTAGE</f>
        <v>6.3000000000000007</v>
      </c>
      <c r="D19" s="29">
        <f>POC_OUTAGE*COC_OUTAGE</f>
        <v>6.3000000000000007</v>
      </c>
      <c r="E19" s="29"/>
      <c r="F19" s="29"/>
      <c r="G19" s="31">
        <f>SUMPRODUCT(($B$23:$F$23)*(B19:F19))</f>
        <v>6.3000000000000007</v>
      </c>
      <c r="H19" s="44"/>
      <c r="I19" s="44"/>
      <c r="J19" s="44"/>
      <c r="K19" s="62" t="s">
        <v>37</v>
      </c>
      <c r="L19" s="27"/>
      <c r="M19" s="27"/>
      <c r="N19" s="27"/>
      <c r="O19" s="27"/>
      <c r="P19" s="27"/>
      <c r="Q19" s="27"/>
      <c r="R19" s="27"/>
      <c r="S19" s="27"/>
      <c r="T19" s="44">
        <v>16</v>
      </c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2" ht="15" customHeight="1" x14ac:dyDescent="0.25">
      <c r="A20" s="44" t="s">
        <v>36</v>
      </c>
      <c r="B20" s="29">
        <f>0.5*PUBLIC_DF*VLTI</f>
        <v>190500</v>
      </c>
      <c r="C20" s="29"/>
      <c r="D20" s="29"/>
      <c r="E20" s="29"/>
      <c r="F20" s="29"/>
      <c r="G20" s="31">
        <f>SUMPRODUCT(($B$23:$F$23)*(B20:F20))</f>
        <v>145134.32834906125</v>
      </c>
      <c r="H20" s="44"/>
      <c r="I20" s="44"/>
      <c r="J20" s="44"/>
      <c r="K20" s="62"/>
      <c r="L20" s="44"/>
      <c r="M20" s="44"/>
      <c r="N20" s="44"/>
      <c r="O20" s="44"/>
      <c r="P20" s="44"/>
      <c r="Q20" s="44"/>
      <c r="R20" s="44"/>
      <c r="S20" s="44"/>
      <c r="T20" s="44">
        <v>17</v>
      </c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2" x14ac:dyDescent="0.25">
      <c r="A21" s="44" t="s">
        <v>38</v>
      </c>
      <c r="B21" s="29"/>
      <c r="C21" s="29"/>
      <c r="D21" s="29"/>
      <c r="E21" s="29"/>
      <c r="F21" s="27"/>
      <c r="G21" s="31">
        <f>SUMPRODUCT(($B$23:$F$23)*(B21:F21))</f>
        <v>0</v>
      </c>
      <c r="H21" s="44"/>
      <c r="I21" s="44"/>
      <c r="J21" s="44"/>
      <c r="K21" s="62" t="s">
        <v>51</v>
      </c>
      <c r="L21" s="27">
        <f>M21*5</f>
        <v>1181.319415952697</v>
      </c>
      <c r="M21" s="27">
        <f>SUM(B18:F18)</f>
        <v>236.26388319053942</v>
      </c>
      <c r="N21" s="28">
        <f>D18+C18+90</f>
        <v>146.26388319053939</v>
      </c>
      <c r="O21" s="28">
        <f>N21</f>
        <v>146.26388319053939</v>
      </c>
      <c r="P21" s="27"/>
      <c r="Q21" s="27"/>
      <c r="R21" s="27">
        <f>SUM(D18:F18)+0.5*B18+C18</f>
        <v>146.26388319053939</v>
      </c>
      <c r="S21" s="27"/>
      <c r="T21" s="44">
        <v>18</v>
      </c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2" x14ac:dyDescent="0.25">
      <c r="A22" s="44" t="s">
        <v>39</v>
      </c>
      <c r="B22" s="29"/>
      <c r="C22" s="29"/>
      <c r="D22" s="29"/>
      <c r="E22" s="29"/>
      <c r="F22" s="27"/>
      <c r="G22" s="31">
        <f>SUMPRODUCT(($B$23:$F$23)*(B22:F22))</f>
        <v>0</v>
      </c>
      <c r="H22" s="44"/>
      <c r="I22" s="44"/>
      <c r="J22" s="44"/>
      <c r="K22" s="62"/>
      <c r="L22" s="44"/>
      <c r="M22" s="44"/>
      <c r="N22" s="44"/>
      <c r="O22" s="44"/>
      <c r="P22" s="44"/>
      <c r="Q22" s="44"/>
      <c r="R22" s="44"/>
      <c r="S22" s="44"/>
      <c r="T22" s="44">
        <v>19</v>
      </c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2" x14ac:dyDescent="0.25">
      <c r="A23" s="44" t="s">
        <v>86</v>
      </c>
      <c r="B23" s="30">
        <f>B18/SUM($B$18:$F$18)</f>
        <v>0.7618599913336549</v>
      </c>
      <c r="C23" s="30">
        <f>C18/SUM($B$18:$F$18)</f>
        <v>0.22967101597880363</v>
      </c>
      <c r="D23" s="30">
        <f>D18/SUM($B$18:$F$18)</f>
        <v>8.4689926875414854E-3</v>
      </c>
      <c r="E23" s="30">
        <f>E18/SUM($B$18:$F$18)</f>
        <v>0</v>
      </c>
      <c r="F23" s="30">
        <f>F18/SUM($B$18:$F$18)</f>
        <v>0</v>
      </c>
      <c r="G23" s="31"/>
      <c r="H23" s="44"/>
      <c r="I23" s="44"/>
      <c r="J23" s="44"/>
      <c r="K23" s="62"/>
      <c r="L23" s="44"/>
      <c r="M23" s="44"/>
      <c r="N23" s="44"/>
      <c r="O23" s="44"/>
      <c r="P23" s="44"/>
      <c r="Q23" s="44"/>
      <c r="R23" s="44"/>
      <c r="S23" s="44"/>
      <c r="T23" s="44">
        <v>20</v>
      </c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2" x14ac:dyDescent="0.25">
      <c r="A24" s="48" t="s">
        <v>40</v>
      </c>
      <c r="B24" s="33">
        <f>SUM(B19:B22)</f>
        <v>190506.3</v>
      </c>
      <c r="C24" s="33">
        <f>SUM(C19:C22)</f>
        <v>6.3000000000000007</v>
      </c>
      <c r="D24" s="33">
        <f>SUM(D19:D22)</f>
        <v>6.3000000000000007</v>
      </c>
      <c r="E24" s="33">
        <f>SUM(E19:E22)</f>
        <v>0</v>
      </c>
      <c r="F24" s="3"/>
      <c r="G24" s="31">
        <f>SUM(G19:G23)</f>
        <v>145140.62834906124</v>
      </c>
      <c r="H24" s="44"/>
      <c r="I24" s="44"/>
      <c r="J24" s="44"/>
      <c r="K24" s="62"/>
      <c r="L24" s="44"/>
      <c r="M24" s="44"/>
      <c r="N24" s="44"/>
      <c r="O24" s="44"/>
      <c r="P24" s="44"/>
      <c r="Q24" s="44"/>
      <c r="R24" s="44"/>
      <c r="S24" s="44"/>
      <c r="T24" s="44">
        <v>21</v>
      </c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2" ht="15" customHeight="1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62"/>
      <c r="L25" s="44" t="s">
        <v>58</v>
      </c>
      <c r="M25" s="44"/>
      <c r="N25" s="44"/>
      <c r="O25" s="44"/>
      <c r="P25" s="44"/>
      <c r="Q25" s="44"/>
      <c r="R25" s="44"/>
      <c r="S25" s="44"/>
      <c r="T25" s="44">
        <v>22</v>
      </c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2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59" t="s">
        <v>41</v>
      </c>
      <c r="L26" s="31">
        <f>L7</f>
        <v>642</v>
      </c>
      <c r="M26" s="31">
        <f t="shared" ref="M26:R26" si="3">M7</f>
        <v>642</v>
      </c>
      <c r="N26" s="31">
        <f t="shared" si="3"/>
        <v>642</v>
      </c>
      <c r="O26" s="31">
        <f t="shared" si="3"/>
        <v>642</v>
      </c>
      <c r="P26" s="31">
        <f t="shared" si="3"/>
        <v>0</v>
      </c>
      <c r="Q26" s="31">
        <f t="shared" si="3"/>
        <v>0</v>
      </c>
      <c r="R26" s="31">
        <f t="shared" si="3"/>
        <v>0</v>
      </c>
      <c r="S26" s="31"/>
      <c r="T26" s="44">
        <v>23</v>
      </c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2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59" t="s">
        <v>42</v>
      </c>
      <c r="L27" s="54">
        <f>M27</f>
        <v>23.368399999999998</v>
      </c>
      <c r="M27" s="54">
        <f>B3/B11</f>
        <v>23.368399999999998</v>
      </c>
      <c r="N27" s="54">
        <v>5</v>
      </c>
      <c r="O27" s="54">
        <v>10</v>
      </c>
      <c r="P27" s="54">
        <f>M27*0.95</f>
        <v>22.199979999999996</v>
      </c>
      <c r="Q27" s="54">
        <f>M27*1.05</f>
        <v>24.536819999999999</v>
      </c>
      <c r="R27" s="54">
        <f>L27</f>
        <v>23.368399999999998</v>
      </c>
      <c r="S27" s="54"/>
      <c r="T27" s="44">
        <v>24</v>
      </c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2" x14ac:dyDescent="0.2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59" t="s">
        <v>43</v>
      </c>
      <c r="L28" s="31">
        <f>(IFERROR(L10/L15,0)+IFERROR(L11/L16,0)+IFERROR(L12/L17,0)+IFERROR(L13/L18,0)+IFERROR(L14/L19,0))</f>
        <v>0</v>
      </c>
      <c r="M28" s="31">
        <f>(IFERROR(M10/M15,0)+IFERROR(M11/M16,0)+IFERROR(M12/M17,0)+IFERROR(M13/M18,0)+IFERROR(M14/M19,0))</f>
        <v>0</v>
      </c>
      <c r="N28" s="31">
        <f>(IFERROR(N10/N15,0)+IFERROR(N11/N16,0)+IFERROR(N12/N17,0)+IFERROR(N13/N18,0)+IFERROR(N14/N19,0))</f>
        <v>0</v>
      </c>
      <c r="O28" s="31">
        <f t="shared" ref="O28:Q28" si="4">(IFERROR(O10/O15,0)+IFERROR(O11/O16,0)+IFERROR(O12/O17,0)+IFERROR(O13/O18,0)+IFERROR(O14/O19,0))</f>
        <v>0</v>
      </c>
      <c r="P28" s="31">
        <f t="shared" si="4"/>
        <v>0</v>
      </c>
      <c r="Q28" s="31">
        <f t="shared" si="4"/>
        <v>0</v>
      </c>
      <c r="R28" s="31">
        <f>(IFERROR(R10/R15,0)+IFERROR(R11/R16,0)+IFERROR(R12/R17,0)+IFERROR(R13/R18,0)+IFERROR(R14/R19,0))</f>
        <v>0</v>
      </c>
      <c r="S28" s="31"/>
      <c r="T28" s="44">
        <v>25</v>
      </c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2" x14ac:dyDescent="0.2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59" t="s">
        <v>44</v>
      </c>
      <c r="L29" s="36">
        <f>L21/$B$3</f>
        <v>2.7201791838277079E-2</v>
      </c>
      <c r="M29" s="36">
        <f>M21/$B$3</f>
        <v>5.4403583676554158E-3</v>
      </c>
      <c r="N29" s="36">
        <f>N21/$B$3</f>
        <v>3.3679626782384497E-3</v>
      </c>
      <c r="O29" s="36">
        <f>O21/$B$3</f>
        <v>3.3679626782384497E-3</v>
      </c>
      <c r="P29" s="36">
        <f t="shared" ref="P29" si="5">P21/$B$3</f>
        <v>0</v>
      </c>
      <c r="Q29" s="36">
        <f>Q21/$B$3</f>
        <v>0</v>
      </c>
      <c r="R29" s="36">
        <f>R21/$B$3</f>
        <v>3.3679626782384497E-3</v>
      </c>
      <c r="S29" s="36"/>
      <c r="T29" s="44">
        <v>26</v>
      </c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2" ht="15" customHeight="1" x14ac:dyDescent="0.2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59" t="s">
        <v>45</v>
      </c>
      <c r="L30" s="31">
        <f>L29*$G$24</f>
        <v>3948.0851596279008</v>
      </c>
      <c r="M30" s="32">
        <f>M29*$G$24</f>
        <v>789.61703192558014</v>
      </c>
      <c r="N30" s="32">
        <f>N29*$G$24</f>
        <v>488.82821937571578</v>
      </c>
      <c r="O30" s="32">
        <f>O29*$G$24</f>
        <v>488.82821937571578</v>
      </c>
      <c r="P30" s="31">
        <f t="shared" ref="P30:R30" si="6">P29*$G$24</f>
        <v>0</v>
      </c>
      <c r="Q30" s="31">
        <f t="shared" si="6"/>
        <v>0</v>
      </c>
      <c r="R30" s="31">
        <f t="shared" si="6"/>
        <v>488.82821937571578</v>
      </c>
      <c r="S30" s="31"/>
      <c r="T30" s="44">
        <v>27</v>
      </c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2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59" t="s">
        <v>46</v>
      </c>
      <c r="L31" s="31">
        <f t="shared" ref="L31:Q31" si="7">L26/L27</f>
        <v>27.472997723421376</v>
      </c>
      <c r="M31" s="31">
        <f>M26/M27</f>
        <v>27.472997723421376</v>
      </c>
      <c r="N31" s="31">
        <f>N26/N27</f>
        <v>128.4</v>
      </c>
      <c r="O31" s="31">
        <f>O26/O27</f>
        <v>64.2</v>
      </c>
      <c r="P31" s="31">
        <f t="shared" si="7"/>
        <v>0</v>
      </c>
      <c r="Q31" s="31">
        <f t="shared" si="7"/>
        <v>0</v>
      </c>
      <c r="R31" s="31">
        <f>R26/R27</f>
        <v>0</v>
      </c>
      <c r="S31" s="31"/>
      <c r="T31" s="44">
        <v>28</v>
      </c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2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62"/>
      <c r="L32" s="38"/>
      <c r="M32" s="38"/>
      <c r="N32" s="38"/>
      <c r="O32" s="38"/>
      <c r="P32" s="38"/>
      <c r="Q32" s="38"/>
      <c r="R32" s="38"/>
      <c r="S32" s="38"/>
      <c r="T32" s="44">
        <v>29</v>
      </c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2" x14ac:dyDescent="0.2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62"/>
      <c r="L33" s="44"/>
      <c r="M33" s="44"/>
      <c r="N33" s="44"/>
      <c r="O33" s="44"/>
      <c r="P33" s="44"/>
      <c r="Q33" s="44"/>
      <c r="R33" s="44"/>
      <c r="S33" s="44"/>
      <c r="T33" s="44">
        <v>30</v>
      </c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2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62" t="s">
        <v>40</v>
      </c>
      <c r="L34" s="31">
        <f t="shared" ref="L34:R34" si="8">L31+L30+L28</f>
        <v>3975.5581573513223</v>
      </c>
      <c r="M34" s="31">
        <f t="shared" si="8"/>
        <v>817.09002964900151</v>
      </c>
      <c r="N34" s="31">
        <f>N31+N30+N28</f>
        <v>617.22821937571575</v>
      </c>
      <c r="O34" s="31">
        <f t="shared" si="8"/>
        <v>553.02821937571582</v>
      </c>
      <c r="P34" s="31">
        <f t="shared" si="8"/>
        <v>0</v>
      </c>
      <c r="Q34" s="31">
        <f t="shared" si="8"/>
        <v>0</v>
      </c>
      <c r="R34" s="31">
        <f t="shared" si="8"/>
        <v>488.82821937571578</v>
      </c>
      <c r="S34" s="31"/>
      <c r="T34" s="44">
        <v>31</v>
      </c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2" ht="15" customHeight="1" x14ac:dyDescent="0.2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62" t="s">
        <v>47</v>
      </c>
      <c r="L35" s="40">
        <f>(L30+L28)/L26</f>
        <v>6.1496653576758575</v>
      </c>
      <c r="M35" s="40">
        <f t="shared" ref="M35:R35" si="9">(M30+M28)/M26</f>
        <v>1.2299330715351715</v>
      </c>
      <c r="N35" s="40">
        <f t="shared" si="9"/>
        <v>0.76141467192479095</v>
      </c>
      <c r="O35" s="40">
        <f t="shared" si="9"/>
        <v>0.76141467192479095</v>
      </c>
      <c r="P35" s="40" t="e">
        <f t="shared" si="9"/>
        <v>#DIV/0!</v>
      </c>
      <c r="Q35" s="40" t="e">
        <f t="shared" si="9"/>
        <v>#DIV/0!</v>
      </c>
      <c r="R35" s="40" t="e">
        <f t="shared" si="9"/>
        <v>#DIV/0!</v>
      </c>
      <c r="S35" s="40"/>
      <c r="T35" s="44">
        <v>32</v>
      </c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2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62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2" x14ac:dyDescent="0.25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62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2" x14ac:dyDescent="0.25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62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2" x14ac:dyDescent="0.25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62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2" ht="15" customHeight="1" x14ac:dyDescent="0.2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62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62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2" x14ac:dyDescent="0.2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62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2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62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2" x14ac:dyDescent="0.25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62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2" x14ac:dyDescent="0.25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62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2" ht="15" customHeight="1" x14ac:dyDescent="0.2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62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</row>
    <row r="47" spans="1:32" x14ac:dyDescent="0.2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62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</row>
    <row r="48" spans="1:32" x14ac:dyDescent="0.2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62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</row>
    <row r="49" spans="1:32" x14ac:dyDescent="0.2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62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x14ac:dyDescent="0.2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62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hidden="1" x14ac:dyDescent="0.25"/>
    <row r="52" spans="1:32" hidden="1" x14ac:dyDescent="0.25"/>
    <row r="53" spans="1:32" hidden="1" x14ac:dyDescent="0.25"/>
    <row r="54" spans="1:32" hidden="1" x14ac:dyDescent="0.25"/>
    <row r="55" spans="1:32" hidden="1" x14ac:dyDescent="0.25"/>
    <row r="56" spans="1:32" hidden="1" x14ac:dyDescent="0.25"/>
    <row r="57" spans="1:32" hidden="1" x14ac:dyDescent="0.25"/>
    <row r="58" spans="1:32" ht="15" hidden="1" customHeight="1" x14ac:dyDescent="0.25"/>
    <row r="59" spans="1:32" hidden="1" x14ac:dyDescent="0.25"/>
    <row r="60" spans="1:32" hidden="1" x14ac:dyDescent="0.25"/>
    <row r="61" spans="1:32" hidden="1" x14ac:dyDescent="0.25"/>
    <row r="62" spans="1:32" hidden="1" x14ac:dyDescent="0.25"/>
    <row r="63" spans="1:32" hidden="1" x14ac:dyDescent="0.25"/>
    <row r="64" spans="1:32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t="15.75" hidden="1" customHeight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t="15" hidden="1" customHeight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t="15" hidden="1" customHeight="1" x14ac:dyDescent="0.25"/>
    <row r="90" hidden="1" x14ac:dyDescent="0.25"/>
    <row r="91" ht="15" hidden="1" customHeight="1" x14ac:dyDescent="0.25"/>
    <row r="92" hidden="1" x14ac:dyDescent="0.25"/>
    <row r="93" hidden="1" x14ac:dyDescent="0.25"/>
    <row r="94" ht="15" hidden="1" customHeight="1" x14ac:dyDescent="0.25"/>
    <row r="95" hidden="1" x14ac:dyDescent="0.25"/>
    <row r="96" hidden="1" x14ac:dyDescent="0.25"/>
    <row r="97" hidden="1" x14ac:dyDescent="0.25"/>
    <row r="98" hidden="1" x14ac:dyDescent="0.25"/>
    <row r="99" ht="15" hidden="1" customHeight="1" x14ac:dyDescent="0.25"/>
    <row r="100" hidden="1" x14ac:dyDescent="0.25"/>
    <row r="101" hidden="1" x14ac:dyDescent="0.25"/>
    <row r="102" hidden="1" x14ac:dyDescent="0.25"/>
    <row r="103" hidden="1" x14ac:dyDescent="0.25"/>
    <row r="104" ht="15" hidden="1" customHeight="1" x14ac:dyDescent="0.25"/>
    <row r="105" hidden="1" x14ac:dyDescent="0.25"/>
    <row r="106" hidden="1" x14ac:dyDescent="0.25"/>
    <row r="107" hidden="1" x14ac:dyDescent="0.25"/>
    <row r="108" hidden="1" x14ac:dyDescent="0.25"/>
    <row r="109" ht="15" hidden="1" customHeight="1" x14ac:dyDescent="0.25"/>
    <row r="110" hidden="1" x14ac:dyDescent="0.25"/>
    <row r="111" hidden="1" x14ac:dyDescent="0.25"/>
    <row r="112" hidden="1" x14ac:dyDescent="0.25"/>
    <row r="113" hidden="1" x14ac:dyDescent="0.25"/>
    <row r="114" ht="15" hidden="1" customHeight="1" x14ac:dyDescent="0.25"/>
  </sheetData>
  <mergeCells count="9">
    <mergeCell ref="Q5:Q6"/>
    <mergeCell ref="R5:R6"/>
    <mergeCell ref="S5:S6"/>
    <mergeCell ref="K5:K6"/>
    <mergeCell ref="L5:L6"/>
    <mergeCell ref="M5:M6"/>
    <mergeCell ref="N5:N6"/>
    <mergeCell ref="O5:O6"/>
    <mergeCell ref="P5:P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="70" zoomScaleNormal="70" workbookViewId="0">
      <selection activeCell="C23" sqref="C23"/>
    </sheetView>
  </sheetViews>
  <sheetFormatPr defaultRowHeight="15" x14ac:dyDescent="0.25"/>
  <cols>
    <col min="1" max="1" width="27" customWidth="1"/>
    <col min="2" max="2" width="15.42578125" customWidth="1"/>
    <col min="3" max="3" width="15.85546875" customWidth="1"/>
    <col min="4" max="4" width="14" customWidth="1"/>
    <col min="5" max="5" width="12.7109375" customWidth="1"/>
    <col min="6" max="6" width="36.28515625" customWidth="1"/>
    <col min="7" max="7" width="18.5703125" customWidth="1"/>
    <col min="8" max="8" width="83" customWidth="1"/>
  </cols>
  <sheetData>
    <row r="1" spans="1:8" x14ac:dyDescent="0.25">
      <c r="A1" s="65" t="s">
        <v>89</v>
      </c>
      <c r="B1" s="65"/>
      <c r="C1" s="65"/>
      <c r="D1" s="65"/>
      <c r="F1" s="65" t="s">
        <v>83</v>
      </c>
      <c r="G1" s="65"/>
      <c r="H1" s="65"/>
    </row>
    <row r="2" spans="1:8" x14ac:dyDescent="0.25">
      <c r="A2" s="66" t="s">
        <v>54</v>
      </c>
      <c r="B2" s="66" t="s">
        <v>62</v>
      </c>
      <c r="C2" s="66" t="s">
        <v>63</v>
      </c>
      <c r="D2" s="66" t="s">
        <v>64</v>
      </c>
      <c r="F2" s="66" t="s">
        <v>84</v>
      </c>
      <c r="G2" s="66" t="s">
        <v>85</v>
      </c>
      <c r="H2" s="66" t="s">
        <v>48</v>
      </c>
    </row>
    <row r="3" spans="1:8" x14ac:dyDescent="0.25">
      <c r="A3" s="2" t="s">
        <v>59</v>
      </c>
      <c r="B3" s="2">
        <v>8.1599999999999999E-4</v>
      </c>
      <c r="C3" s="2">
        <v>3.2639999999999999E-5</v>
      </c>
      <c r="D3" s="2">
        <f>C3/2</f>
        <v>1.632E-5</v>
      </c>
      <c r="F3" s="3" t="s">
        <v>101</v>
      </c>
      <c r="G3" s="2">
        <v>42</v>
      </c>
      <c r="H3" s="2"/>
    </row>
    <row r="4" spans="1:8" x14ac:dyDescent="0.25">
      <c r="A4" s="2" t="s">
        <v>60</v>
      </c>
      <c r="B4" s="2">
        <v>2.72E-4</v>
      </c>
      <c r="C4" s="2">
        <v>1.0879999999999999E-5</v>
      </c>
      <c r="D4" s="2">
        <f>C4/2</f>
        <v>5.4399999999999996E-6</v>
      </c>
      <c r="F4" s="3" t="s">
        <v>99</v>
      </c>
      <c r="G4" s="2">
        <v>642</v>
      </c>
      <c r="H4" s="2" t="s">
        <v>100</v>
      </c>
    </row>
    <row r="5" spans="1:8" x14ac:dyDescent="0.25">
      <c r="A5" s="2" t="s">
        <v>61</v>
      </c>
      <c r="B5" s="2">
        <v>2.72E-4</v>
      </c>
      <c r="C5" s="2">
        <v>1.0879999999999999E-5</v>
      </c>
      <c r="D5" s="2">
        <f>C5/2</f>
        <v>5.4399999999999996E-6</v>
      </c>
      <c r="F5" s="2" t="s">
        <v>111</v>
      </c>
      <c r="G5" s="2">
        <v>1242</v>
      </c>
      <c r="H5" s="2" t="s">
        <v>112</v>
      </c>
    </row>
    <row r="6" spans="1:8" x14ac:dyDescent="0.25">
      <c r="A6" s="2" t="s">
        <v>65</v>
      </c>
      <c r="B6" s="2">
        <v>5.44E-4</v>
      </c>
      <c r="C6" s="2">
        <f>B6/25</f>
        <v>2.1759999999999998E-5</v>
      </c>
      <c r="D6" s="2">
        <v>1.088E-4</v>
      </c>
      <c r="F6" s="2" t="s">
        <v>115</v>
      </c>
      <c r="G6" s="2">
        <v>3500</v>
      </c>
      <c r="H6" s="2" t="s">
        <v>116</v>
      </c>
    </row>
    <row r="7" spans="1:8" x14ac:dyDescent="0.25">
      <c r="A7" s="2" t="s">
        <v>66</v>
      </c>
      <c r="B7" s="2">
        <f>0.00000075</f>
        <v>7.5000000000000002E-7</v>
      </c>
      <c r="C7" s="2">
        <v>7.4999999999999997E-8</v>
      </c>
      <c r="D7" s="2">
        <v>7.4999999999999997E-8</v>
      </c>
      <c r="F7" s="2" t="s">
        <v>155</v>
      </c>
      <c r="G7" s="2">
        <v>100</v>
      </c>
      <c r="H7" s="2" t="s">
        <v>156</v>
      </c>
    </row>
    <row r="8" spans="1:8" x14ac:dyDescent="0.25">
      <c r="A8" s="2" t="s">
        <v>69</v>
      </c>
      <c r="B8" s="2">
        <v>5.44E-4</v>
      </c>
      <c r="C8" s="2">
        <v>2.1759999999999998E-5</v>
      </c>
      <c r="D8" s="2">
        <v>1.088E-4</v>
      </c>
      <c r="E8" s="1"/>
      <c r="F8" s="11" t="s">
        <v>129</v>
      </c>
      <c r="G8" s="11"/>
      <c r="H8" s="11"/>
    </row>
    <row r="9" spans="1:8" x14ac:dyDescent="0.25">
      <c r="A9" s="2" t="s">
        <v>67</v>
      </c>
      <c r="B9" s="2">
        <v>2.6027400000000001E-5</v>
      </c>
      <c r="C9" s="2">
        <v>2.3000000000000001E-4</v>
      </c>
      <c r="D9" s="2">
        <v>1.9606199999999999E-4</v>
      </c>
      <c r="F9" s="2" t="s">
        <v>102</v>
      </c>
      <c r="G9" s="2">
        <v>39211</v>
      </c>
      <c r="H9" s="2"/>
    </row>
    <row r="10" spans="1:8" x14ac:dyDescent="0.25">
      <c r="A10" s="2" t="s">
        <v>70</v>
      </c>
      <c r="B10" s="2">
        <v>2.6027400000000001E-4</v>
      </c>
      <c r="C10" s="2">
        <v>1.15E-4</v>
      </c>
      <c r="D10" s="2">
        <v>1.9606160000000001E-3</v>
      </c>
      <c r="F10" s="2" t="s">
        <v>104</v>
      </c>
      <c r="G10" s="2">
        <v>14476</v>
      </c>
      <c r="H10" s="2"/>
    </row>
    <row r="11" spans="1:8" x14ac:dyDescent="0.25">
      <c r="A11" s="2" t="s">
        <v>68</v>
      </c>
      <c r="B11" s="2">
        <v>2.6027400000000001E-4</v>
      </c>
      <c r="C11" s="2">
        <v>1.15E-4</v>
      </c>
      <c r="D11" s="2">
        <v>1.9606160000000001E-3</v>
      </c>
      <c r="F11" s="2" t="s">
        <v>105</v>
      </c>
      <c r="G11" s="2">
        <v>281931</v>
      </c>
      <c r="H11" s="2"/>
    </row>
    <row r="12" spans="1:8" x14ac:dyDescent="0.25">
      <c r="A12" s="2" t="s">
        <v>71</v>
      </c>
      <c r="B12" s="2">
        <v>2.6027400000000001E-4</v>
      </c>
      <c r="C12" s="2">
        <v>1.15E-4</v>
      </c>
      <c r="D12" s="2">
        <v>1.9606160000000001E-3</v>
      </c>
      <c r="F12" s="2" t="s">
        <v>106</v>
      </c>
      <c r="G12" s="2">
        <v>29010</v>
      </c>
      <c r="H12" s="2"/>
    </row>
    <row r="13" spans="1:8" x14ac:dyDescent="0.25">
      <c r="F13" s="2" t="s">
        <v>103</v>
      </c>
      <c r="G13" s="2">
        <v>108365</v>
      </c>
      <c r="H13" s="2"/>
    </row>
    <row r="14" spans="1:8" x14ac:dyDescent="0.25">
      <c r="F14" s="2" t="s">
        <v>131</v>
      </c>
      <c r="G14" s="2">
        <v>113</v>
      </c>
      <c r="H14" s="2" t="s">
        <v>120</v>
      </c>
    </row>
    <row r="15" spans="1:8" x14ac:dyDescent="0.25">
      <c r="A15" s="67" t="s">
        <v>77</v>
      </c>
      <c r="B15" s="67"/>
      <c r="F15" s="2" t="s">
        <v>113</v>
      </c>
      <c r="G15" s="2">
        <v>70</v>
      </c>
      <c r="H15" s="2" t="s">
        <v>121</v>
      </c>
    </row>
    <row r="16" spans="1:8" x14ac:dyDescent="0.25">
      <c r="A16" s="2" t="s">
        <v>72</v>
      </c>
      <c r="B16" s="12">
        <v>4490000</v>
      </c>
      <c r="F16" s="2" t="s">
        <v>114</v>
      </c>
      <c r="G16" s="14">
        <f>SUM(G23:G26)</f>
        <v>15</v>
      </c>
      <c r="H16" s="2" t="s">
        <v>130</v>
      </c>
    </row>
    <row r="17" spans="1:13" x14ac:dyDescent="0.25">
      <c r="A17" s="2" t="s">
        <v>93</v>
      </c>
      <c r="B17" s="12">
        <v>127000</v>
      </c>
      <c r="F17" s="2" t="s">
        <v>119</v>
      </c>
      <c r="G17" s="10">
        <v>16.8</v>
      </c>
      <c r="H17" s="2"/>
      <c r="J17" s="4"/>
      <c r="K17" s="4"/>
      <c r="L17" s="4"/>
      <c r="M17" s="4"/>
    </row>
    <row r="18" spans="1:13" x14ac:dyDescent="0.25">
      <c r="A18" s="2" t="s">
        <v>73</v>
      </c>
      <c r="B18" s="2">
        <v>3</v>
      </c>
      <c r="F18" s="2" t="s">
        <v>122</v>
      </c>
      <c r="G18" s="3">
        <v>455.6</v>
      </c>
      <c r="H18" s="2"/>
      <c r="J18" s="4"/>
      <c r="M18" s="4"/>
    </row>
    <row r="19" spans="1:13" x14ac:dyDescent="0.25">
      <c r="A19" s="2" t="s">
        <v>74</v>
      </c>
      <c r="B19" s="2">
        <v>3</v>
      </c>
      <c r="F19" s="2" t="s">
        <v>117</v>
      </c>
      <c r="G19" s="7">
        <v>0.2</v>
      </c>
      <c r="H19" s="2" t="s">
        <v>133</v>
      </c>
      <c r="J19" s="4"/>
      <c r="M19" s="4"/>
    </row>
    <row r="20" spans="1:13" x14ac:dyDescent="0.25">
      <c r="A20" s="3" t="s">
        <v>92</v>
      </c>
      <c r="B20" s="3">
        <v>1</v>
      </c>
      <c r="F20" s="2" t="s">
        <v>118</v>
      </c>
      <c r="G20" s="8">
        <f>G16/G14</f>
        <v>0.13274336283185842</v>
      </c>
      <c r="H20" s="2"/>
    </row>
    <row r="21" spans="1:13" x14ac:dyDescent="0.25">
      <c r="F21" s="2" t="s">
        <v>132</v>
      </c>
      <c r="G21" s="5">
        <f>0.75*VCR</f>
        <v>31.5</v>
      </c>
      <c r="H21" s="2" t="s">
        <v>123</v>
      </c>
      <c r="J21" s="6"/>
    </row>
    <row r="22" spans="1:13" x14ac:dyDescent="0.25">
      <c r="A22" s="22" t="s">
        <v>82</v>
      </c>
      <c r="B22" s="22"/>
      <c r="F22" s="11" t="s">
        <v>134</v>
      </c>
      <c r="G22" s="13"/>
      <c r="H22" s="11"/>
    </row>
    <row r="23" spans="1:13" x14ac:dyDescent="0.25">
      <c r="A23" s="2" t="s">
        <v>75</v>
      </c>
      <c r="B23" s="2">
        <v>15000</v>
      </c>
      <c r="C23" t="s">
        <v>79</v>
      </c>
      <c r="F23" s="2" t="s">
        <v>124</v>
      </c>
      <c r="G23" s="16">
        <v>6</v>
      </c>
      <c r="H23" s="2" t="s">
        <v>154</v>
      </c>
    </row>
    <row r="24" spans="1:13" x14ac:dyDescent="0.25">
      <c r="A24" s="2" t="s">
        <v>76</v>
      </c>
      <c r="B24" s="2">
        <v>1</v>
      </c>
      <c r="F24" s="2" t="s">
        <v>125</v>
      </c>
      <c r="G24" s="16">
        <v>6</v>
      </c>
      <c r="H24" s="2" t="s">
        <v>153</v>
      </c>
    </row>
    <row r="25" spans="1:13" x14ac:dyDescent="0.25">
      <c r="A25" s="2" t="s">
        <v>78</v>
      </c>
      <c r="B25" s="2">
        <v>0.1</v>
      </c>
      <c r="F25" s="2" t="s">
        <v>126</v>
      </c>
      <c r="G25" s="17">
        <v>2</v>
      </c>
      <c r="H25" s="2"/>
    </row>
    <row r="26" spans="1:13" x14ac:dyDescent="0.25">
      <c r="A26" s="2" t="s">
        <v>80</v>
      </c>
      <c r="B26" s="2">
        <f>B24*IRU</f>
        <v>15000</v>
      </c>
      <c r="F26" s="2" t="s">
        <v>127</v>
      </c>
      <c r="G26" s="18">
        <v>1</v>
      </c>
      <c r="H26" s="2"/>
    </row>
    <row r="27" spans="1:13" x14ac:dyDescent="0.25">
      <c r="A27" s="2" t="s">
        <v>81</v>
      </c>
      <c r="B27" s="2">
        <f>B25*IRU</f>
        <v>1500</v>
      </c>
      <c r="F27" s="11" t="s">
        <v>135</v>
      </c>
      <c r="G27" s="15" t="s">
        <v>136</v>
      </c>
      <c r="H27" s="11"/>
    </row>
    <row r="28" spans="1:13" x14ac:dyDescent="0.25">
      <c r="A28" s="3" t="s">
        <v>151</v>
      </c>
      <c r="B28" s="68">
        <v>0.8</v>
      </c>
      <c r="F28" s="2" t="s">
        <v>137</v>
      </c>
      <c r="G28" s="9">
        <v>60</v>
      </c>
      <c r="H28" s="2" t="s">
        <v>145</v>
      </c>
    </row>
    <row r="29" spans="1:13" x14ac:dyDescent="0.25">
      <c r="A29" s="3" t="s">
        <v>152</v>
      </c>
      <c r="B29" s="2">
        <f>(B28*B27+(1-B28)*B26)</f>
        <v>4200</v>
      </c>
      <c r="F29" s="2" t="s">
        <v>138</v>
      </c>
      <c r="G29" s="9">
        <v>30</v>
      </c>
      <c r="H29" s="2"/>
    </row>
    <row r="30" spans="1:13" x14ac:dyDescent="0.25">
      <c r="F30" s="2" t="s">
        <v>139</v>
      </c>
      <c r="G30" s="9">
        <f t="shared" ref="G30:G31" si="0">G25/$G$16*$G$14</f>
        <v>15.066666666666666</v>
      </c>
      <c r="H30" s="2"/>
    </row>
    <row r="31" spans="1:13" x14ac:dyDescent="0.25">
      <c r="F31" s="2" t="s">
        <v>140</v>
      </c>
      <c r="G31" s="9">
        <f t="shared" si="0"/>
        <v>7.5333333333333332</v>
      </c>
      <c r="H31" s="2"/>
    </row>
    <row r="32" spans="1:13" x14ac:dyDescent="0.25">
      <c r="F32" s="2" t="s">
        <v>143</v>
      </c>
      <c r="G32" s="7">
        <v>0.5</v>
      </c>
      <c r="H32" s="2" t="s">
        <v>144</v>
      </c>
    </row>
    <row r="33" spans="4:8" x14ac:dyDescent="0.25">
      <c r="D33" s="20"/>
      <c r="F33" s="2" t="s">
        <v>148</v>
      </c>
      <c r="G33" s="9">
        <v>2.4</v>
      </c>
      <c r="H33" s="2" t="s">
        <v>149</v>
      </c>
    </row>
    <row r="34" spans="4:8" x14ac:dyDescent="0.25">
      <c r="F34" s="2" t="s">
        <v>150</v>
      </c>
      <c r="G34" s="19">
        <f>G33/(FAULTS_ANNUAL_MECH+FAULTS_ANN_VEH+FAULTS_ANNUAL_VEG)</f>
        <v>4.099760847283908E-3</v>
      </c>
      <c r="H34" s="2"/>
    </row>
  </sheetData>
  <mergeCells count="3">
    <mergeCell ref="A15:B15"/>
    <mergeCell ref="F1:H1"/>
    <mergeCell ref="A1:D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31</vt:i4>
      </vt:variant>
    </vt:vector>
  </HeadingPairs>
  <TitlesOfParts>
    <vt:vector size="37" baseType="lpstr">
      <vt:lpstr>Overhead Service All</vt:lpstr>
      <vt:lpstr>Overhead Service NS</vt:lpstr>
      <vt:lpstr>Overhead Service PVC</vt:lpstr>
      <vt:lpstr>Overhead Service Other</vt:lpstr>
      <vt:lpstr>Overhead Service NS Pre-AMI</vt:lpstr>
      <vt:lpstr>Constants</vt:lpstr>
      <vt:lpstr>CoC_Fire</vt:lpstr>
      <vt:lpstr>COC_OUTAGE</vt:lpstr>
      <vt:lpstr>COST_INSPECT_SERVICE</vt:lpstr>
      <vt:lpstr>COST_REPL_SERVICE</vt:lpstr>
      <vt:lpstr>COST_REPL_SERVICE_UG</vt:lpstr>
      <vt:lpstr>FAULTS_ANN_VEH</vt:lpstr>
      <vt:lpstr>FAULTS_ANNUAL_MECH</vt:lpstr>
      <vt:lpstr>FAULTS_ANNUAL_VEG</vt:lpstr>
      <vt:lpstr>IRU</vt:lpstr>
      <vt:lpstr>NS_Failures_yr</vt:lpstr>
      <vt:lpstr>NS_Shocks_Yr</vt:lpstr>
      <vt:lpstr>NUM_ABC</vt:lpstr>
      <vt:lpstr>NUM_NEUTRAL_SCREEN</vt:lpstr>
      <vt:lpstr>NUM_OTHER_OVERHEAD</vt:lpstr>
      <vt:lpstr>NUM_PVC_TWIST</vt:lpstr>
      <vt:lpstr>NUM_REPL_ANNUAL</vt:lpstr>
      <vt:lpstr>NUM_UNDERGROUND</vt:lpstr>
      <vt:lpstr>Other_Failures_yr</vt:lpstr>
      <vt:lpstr>Other_Shocks_Yr</vt:lpstr>
      <vt:lpstr>POC_FIRE</vt:lpstr>
      <vt:lpstr>POC_OUTAGE</vt:lpstr>
      <vt:lpstr>POC_SHOCK</vt:lpstr>
      <vt:lpstr>PoC_Shock_PVC</vt:lpstr>
      <vt:lpstr>PUBLIC_DF</vt:lpstr>
      <vt:lpstr>PVC_Failures_yr</vt:lpstr>
      <vt:lpstr>PVC_Shocks_Yr</vt:lpstr>
      <vt:lpstr>UG_Failures_Yr</vt:lpstr>
      <vt:lpstr>UG_Shocks_Yr</vt:lpstr>
      <vt:lpstr>VCR</vt:lpstr>
      <vt:lpstr>VLTI</vt:lpstr>
      <vt:lpstr>VSL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2020-01-23T00:50:02Z</dcterms:created>
  <dcterms:modified xsi:type="dcterms:W3CDTF">2020-01-29T01:51:10Z</dcterms:modified>
</cp:coreProperties>
</file>