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hidePivotFieldList="1" defaultThemeVersion="124226"/>
  <bookViews>
    <workbookView xWindow="240" yWindow="465" windowWidth="24690" windowHeight="10380"/>
  </bookViews>
  <sheets>
    <sheet name="Summary" sheetId="1" r:id="rId1"/>
    <sheet name="Option 1" sheetId="2" r:id="rId2"/>
    <sheet name="Option 2" sheetId="3" r:id="rId3"/>
    <sheet name="Option 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5" i="4" l="1"/>
  <c r="L15" i="4"/>
  <c r="K15" i="4"/>
  <c r="J15" i="4"/>
  <c r="I15" i="4"/>
  <c r="H15" i="4"/>
  <c r="G15" i="4"/>
  <c r="F15" i="4"/>
  <c r="E15" i="4"/>
  <c r="D15" i="4"/>
  <c r="M13" i="3"/>
  <c r="L13" i="3"/>
  <c r="K13" i="3"/>
  <c r="J13" i="3"/>
  <c r="I13" i="3"/>
  <c r="H13" i="3"/>
  <c r="G13" i="3"/>
  <c r="F13" i="3"/>
  <c r="E13" i="3"/>
  <c r="D13" i="3"/>
  <c r="M10" i="3"/>
  <c r="L10" i="3"/>
  <c r="K10" i="3"/>
  <c r="J10" i="3"/>
  <c r="I10" i="3"/>
  <c r="H10" i="3"/>
  <c r="G10" i="3"/>
  <c r="F10" i="3"/>
  <c r="M9" i="2"/>
  <c r="L9" i="2"/>
  <c r="K9" i="2"/>
  <c r="J9" i="2"/>
  <c r="I9" i="2"/>
  <c r="H9" i="2"/>
  <c r="G9" i="2"/>
  <c r="D9" i="2"/>
  <c r="C44" i="2" l="1"/>
  <c r="E8" i="2" l="1"/>
  <c r="E9" i="2" s="1"/>
  <c r="M20" i="4" l="1"/>
  <c r="M19" i="3"/>
  <c r="C79" i="4"/>
  <c r="C61" i="3" l="1"/>
  <c r="C62" i="3" s="1"/>
  <c r="C48" i="4"/>
  <c r="C49" i="4" s="1"/>
  <c r="C80" i="4"/>
  <c r="C66" i="4"/>
  <c r="C67" i="4" s="1"/>
  <c r="C45" i="3"/>
  <c r="C46" i="3" s="1"/>
  <c r="F10" i="4" l="1"/>
  <c r="J10" i="4"/>
  <c r="J11" i="4" s="1"/>
  <c r="D10" i="4"/>
  <c r="I10" i="4"/>
  <c r="I11" i="4" s="1"/>
  <c r="G10" i="4"/>
  <c r="K10" i="4"/>
  <c r="K11" i="4" s="1"/>
  <c r="H10" i="4"/>
  <c r="L10" i="4"/>
  <c r="L11" i="4" s="1"/>
  <c r="E10" i="4"/>
  <c r="M10" i="4"/>
  <c r="M11" i="4" s="1"/>
  <c r="F8" i="2"/>
  <c r="F9" i="2" s="1"/>
  <c r="H11" i="4" l="1"/>
  <c r="G90" i="4" s="1"/>
  <c r="G11" i="4"/>
  <c r="F90" i="4" s="1"/>
  <c r="F11" i="4"/>
  <c r="E90" i="4" s="1"/>
  <c r="C53" i="2"/>
  <c r="F14" i="2"/>
  <c r="G14" i="2"/>
  <c r="H14" i="2"/>
  <c r="I14" i="2"/>
  <c r="J14" i="2"/>
  <c r="K14" i="2"/>
  <c r="L14" i="2"/>
  <c r="E14" i="2"/>
  <c r="F13" i="2"/>
  <c r="G13" i="2"/>
  <c r="H13" i="2"/>
  <c r="I13" i="2"/>
  <c r="J13" i="2"/>
  <c r="K13" i="2"/>
  <c r="L13" i="2"/>
  <c r="E13" i="2"/>
  <c r="C57" i="4" l="1"/>
  <c r="C58" i="4" s="1"/>
  <c r="C71" i="4" s="1"/>
  <c r="E11" i="2"/>
  <c r="D8" i="4" l="1"/>
  <c r="E8" i="4"/>
  <c r="E74" i="3"/>
  <c r="F74" i="3"/>
  <c r="G74" i="3"/>
  <c r="F11" i="2"/>
  <c r="E12" i="2" l="1"/>
  <c r="M19" i="2"/>
  <c r="M11" i="2" s="1"/>
  <c r="L11" i="2"/>
  <c r="K11" i="2"/>
  <c r="J11" i="2"/>
  <c r="I11" i="2"/>
  <c r="H11" i="2"/>
  <c r="G11" i="2"/>
  <c r="B9" i="1"/>
  <c r="B8" i="1"/>
  <c r="B7" i="1"/>
  <c r="C38" i="4" l="1"/>
  <c r="C39" i="4" s="1"/>
  <c r="C70" i="4" s="1"/>
  <c r="E15" i="2"/>
  <c r="M14" i="2"/>
  <c r="D52" i="2" s="1"/>
  <c r="M13" i="2"/>
  <c r="D51" i="2" s="1"/>
  <c r="D49" i="2"/>
  <c r="G12" i="2"/>
  <c r="G15" i="2" s="1"/>
  <c r="H12" i="2"/>
  <c r="H15" i="2" s="1"/>
  <c r="M12" i="2"/>
  <c r="J12" i="2"/>
  <c r="J15" i="2" s="1"/>
  <c r="F12" i="2"/>
  <c r="F15" i="2" s="1"/>
  <c r="K12" i="2"/>
  <c r="K15" i="2" s="1"/>
  <c r="L12" i="2"/>
  <c r="L15" i="2" s="1"/>
  <c r="I12" i="2"/>
  <c r="I15" i="2" s="1"/>
  <c r="C72" i="4" l="1"/>
  <c r="E9" i="4"/>
  <c r="D9" i="4"/>
  <c r="D11" i="4" s="1"/>
  <c r="C90" i="4" s="1"/>
  <c r="D50" i="2"/>
  <c r="M15" i="2"/>
  <c r="E11" i="4" l="1"/>
  <c r="D90" i="4" s="1"/>
  <c r="H90" i="4" s="1"/>
  <c r="C36" i="3"/>
  <c r="C37" i="3" s="1"/>
  <c r="C64" i="3" s="1"/>
  <c r="C53" i="3"/>
  <c r="C54" i="3" s="1"/>
  <c r="C65" i="3" s="1"/>
  <c r="E8" i="3" l="1"/>
  <c r="D8" i="3"/>
  <c r="D9" i="3"/>
  <c r="E9" i="3"/>
  <c r="C66" i="3"/>
  <c r="D10" i="3" l="1"/>
  <c r="E10" i="3"/>
  <c r="D74" i="3"/>
  <c r="C80" i="3" l="1"/>
  <c r="D81" i="3" s="1"/>
  <c r="C8" i="1" s="1"/>
  <c r="C74" i="3"/>
  <c r="H74" i="3" l="1"/>
  <c r="C96" i="4"/>
  <c r="D97" i="4" l="1"/>
  <c r="C9" i="1" s="1"/>
  <c r="D54" i="2"/>
  <c r="C7" i="1" l="1"/>
</calcChain>
</file>

<file path=xl/sharedStrings.xml><?xml version="1.0" encoding="utf-8"?>
<sst xmlns="http://schemas.openxmlformats.org/spreadsheetml/2006/main" count="226" uniqueCount="81">
  <si>
    <t>Year</t>
  </si>
  <si>
    <t>Costs</t>
  </si>
  <si>
    <t>Benefits</t>
  </si>
  <si>
    <t>Reliability</t>
  </si>
  <si>
    <t>Protection device manual reconfig</t>
  </si>
  <si>
    <t>Inputs</t>
  </si>
  <si>
    <t>3G switch off profile</t>
  </si>
  <si>
    <t>WACC</t>
  </si>
  <si>
    <t>NPV</t>
  </si>
  <si>
    <t>Impact</t>
  </si>
  <si>
    <t>Cost</t>
  </si>
  <si>
    <t>Benefit</t>
  </si>
  <si>
    <t>-</t>
  </si>
  <si>
    <t>Protection device manual reconfiguration</t>
  </si>
  <si>
    <t>Net benefits</t>
  </si>
  <si>
    <t>Item</t>
  </si>
  <si>
    <t>Device</t>
  </si>
  <si>
    <t>Number</t>
  </si>
  <si>
    <t>Total</t>
  </si>
  <si>
    <t>Expenditure forecast</t>
  </si>
  <si>
    <t>Capital expenditure</t>
  </si>
  <si>
    <t>Option 2 - Move to 4G / 5G</t>
  </si>
  <si>
    <t>Option 3 - Move to another technology</t>
  </si>
  <si>
    <t>Options summary</t>
  </si>
  <si>
    <t>Reliability costs</t>
  </si>
  <si>
    <t>Total unit cost</t>
  </si>
  <si>
    <t>Total program costs</t>
  </si>
  <si>
    <t>This option maintains current reliability level</t>
  </si>
  <si>
    <t>Description</t>
  </si>
  <si>
    <t>Unit quantities</t>
  </si>
  <si>
    <t>3G replacement - Cost models</t>
  </si>
  <si>
    <t>Capital costs</t>
  </si>
  <si>
    <t>No capital outlay with this options</t>
  </si>
  <si>
    <t>Totals</t>
  </si>
  <si>
    <t>Recommended option</t>
  </si>
  <si>
    <t>Expenditure / benefits profile</t>
  </si>
  <si>
    <t>Materials</t>
  </si>
  <si>
    <t>Unit costs for SCADA replacement</t>
  </si>
  <si>
    <t>Number of 3G AMI access points deployed</t>
  </si>
  <si>
    <t>Total SCADA costs</t>
  </si>
  <si>
    <t>Total yearly cost</t>
  </si>
  <si>
    <t>Meter reading</t>
  </si>
  <si>
    <t>Replacement of AMI communications</t>
  </si>
  <si>
    <t>Capital investment</t>
  </si>
  <si>
    <t>2021/2022</t>
  </si>
  <si>
    <t>2022/2023</t>
  </si>
  <si>
    <t>2023/2024</t>
  </si>
  <si>
    <t>2024/2025</t>
  </si>
  <si>
    <t>2025/2026</t>
  </si>
  <si>
    <t>2026/2027</t>
  </si>
  <si>
    <t>2027/2028</t>
  </si>
  <si>
    <t>2028/2029</t>
  </si>
  <si>
    <t>2029/2030</t>
  </si>
  <si>
    <t>2030/2031</t>
  </si>
  <si>
    <t>Value of unserved energy</t>
  </si>
  <si>
    <t>Field time</t>
  </si>
  <si>
    <t>Power quality meter reading</t>
  </si>
  <si>
    <t>Total capital investment</t>
  </si>
  <si>
    <t>Unit costs for AMI access point replacement</t>
  </si>
  <si>
    <t>Unit costs for power quality modem replacement</t>
  </si>
  <si>
    <t>Unit costs for AMI micro access point replacement</t>
  </si>
  <si>
    <t>Number of 3G SCADA device modems deployed</t>
  </si>
  <si>
    <t>Number of power quality metering device modems deployed</t>
  </si>
  <si>
    <t>Manual reconfiguration costs (opex)</t>
  </si>
  <si>
    <t>Meter reading costs (opex)</t>
  </si>
  <si>
    <t>Power quality meter reading costs (opex)</t>
  </si>
  <si>
    <t>Capital investment (capex)</t>
  </si>
  <si>
    <t>NBN media provisioning cost</t>
  </si>
  <si>
    <t>Operational costs</t>
  </si>
  <si>
    <t>NBN costs (opex)</t>
  </si>
  <si>
    <t>Total monthly unit cost</t>
  </si>
  <si>
    <t>Total yearly opex cost</t>
  </si>
  <si>
    <t>Replacement of SCADA and power quality metering communications</t>
  </si>
  <si>
    <t>NBN opex</t>
  </si>
  <si>
    <t>AMI comms replacement</t>
  </si>
  <si>
    <t>SCADA and PQM comms replacement</t>
  </si>
  <si>
    <t>Head end communication analyst</t>
  </si>
  <si>
    <t xml:space="preserve">Project management time </t>
  </si>
  <si>
    <t>Monthly charges (in excess of what is paid for 3G/4G)</t>
  </si>
  <si>
    <t>Option 1 - Reference case</t>
  </si>
  <si>
    <t>Number of 3G AMI micro access points deployed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</si>
</sst>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;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_-;\-* #,##0.0_-;_-* &quot;-&quot;?_-;_-@_-"/>
    <numFmt numFmtId="167" formatCode="&quot;$&quot;#,##0.00"/>
    <numFmt numFmtId="168" formatCode="&quot;$&quot;#,##0"/>
    <numFmt numFmtId="169" formatCode="#,##0.0"/>
    <numFmt numFmtId="170" formatCode="_-&quot;$&quot;* #,##0_-;\-&quot;$&quot;* #,##0_-;_-&quot;$&quot;* &quot;-&quot;??_-;_-@_-"/>
  </numFmts>
  <fonts count="1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rgb="FFFFFFFF"/>
      <name val="Verdana"/>
      <family val="2"/>
    </font>
    <font>
      <sz val="14"/>
      <color theme="1"/>
      <name val="Verdana"/>
      <family val="2"/>
    </font>
    <font>
      <b/>
      <sz val="10"/>
      <color theme="0"/>
      <name val="Verdana"/>
      <family val="2"/>
    </font>
    <font>
      <sz val="10"/>
      <color rgb="FFFF0000"/>
      <name val="Verdana"/>
      <family val="2"/>
    </font>
    <font>
      <sz val="11"/>
      <color indexed="8"/>
      <name val="Calibri"/>
      <family val="2"/>
      <scheme val="minor"/>
    </font>
    <font>
      <b/>
      <sz val="10"/>
      <color rgb="FFFF0000"/>
      <name val="Verdana"/>
      <family val="2"/>
    </font>
    <font>
      <sz val="10"/>
      <color theme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rgb="FFFFFFFF"/>
      </top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65" fontId="0" fillId="0" borderId="0" xfId="0" applyNumberFormat="1"/>
    <xf numFmtId="164" fontId="0" fillId="0" borderId="0" xfId="0" applyNumberFormat="1"/>
    <xf numFmtId="0" fontId="4" fillId="2" borderId="0" xfId="0" applyFont="1" applyFill="1"/>
    <xf numFmtId="0" fontId="5" fillId="2" borderId="0" xfId="0" applyFont="1" applyFill="1"/>
    <xf numFmtId="0" fontId="0" fillId="0" borderId="0" xfId="0" applyBorder="1"/>
    <xf numFmtId="165" fontId="0" fillId="0" borderId="0" xfId="1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Border="1"/>
    <xf numFmtId="10" fontId="0" fillId="0" borderId="0" xfId="0" applyNumberFormat="1" applyFont="1"/>
    <xf numFmtId="165" fontId="0" fillId="0" borderId="0" xfId="0" applyNumberFormat="1" applyFont="1"/>
    <xf numFmtId="0" fontId="0" fillId="0" borderId="0" xfId="0" applyFont="1" applyBorder="1" applyAlignment="1">
      <alignment horizontal="right"/>
    </xf>
    <xf numFmtId="167" fontId="0" fillId="0" borderId="0" xfId="0" applyNumberFormat="1" applyFont="1" applyBorder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0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7" fillId="0" borderId="0" xfId="0" applyFont="1"/>
    <xf numFmtId="0" fontId="8" fillId="2" borderId="0" xfId="0" applyFont="1" applyFill="1"/>
    <xf numFmtId="0" fontId="0" fillId="3" borderId="1" xfId="0" applyFont="1" applyFill="1" applyBorder="1" applyAlignment="1">
      <alignment horizontal="left" vertical="center"/>
    </xf>
    <xf numFmtId="0" fontId="8" fillId="2" borderId="0" xfId="0" applyFont="1" applyFill="1" applyBorder="1"/>
    <xf numFmtId="0" fontId="5" fillId="4" borderId="0" xfId="0" applyFont="1" applyFill="1"/>
    <xf numFmtId="0" fontId="2" fillId="3" borderId="4" xfId="0" applyFont="1" applyFill="1" applyBorder="1" applyAlignment="1">
      <alignment vertical="center"/>
    </xf>
    <xf numFmtId="167" fontId="2" fillId="3" borderId="5" xfId="0" applyNumberFormat="1" applyFont="1" applyFill="1" applyBorder="1" applyAlignment="1">
      <alignment horizontal="right" vertical="center"/>
    </xf>
    <xf numFmtId="0" fontId="0" fillId="5" borderId="0" xfId="0" applyFill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5" borderId="1" xfId="0" applyFont="1" applyFill="1" applyBorder="1" applyAlignment="1">
      <alignment horizontal="left" vertical="center"/>
    </xf>
    <xf numFmtId="8" fontId="0" fillId="0" borderId="0" xfId="0" applyNumberFormat="1"/>
    <xf numFmtId="0" fontId="2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Fill="1"/>
    <xf numFmtId="0" fontId="2" fillId="0" borderId="0" xfId="0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center"/>
    </xf>
    <xf numFmtId="166" fontId="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7" fontId="0" fillId="0" borderId="0" xfId="0" applyNumberFormat="1" applyFont="1"/>
    <xf numFmtId="168" fontId="0" fillId="0" borderId="0" xfId="0" applyNumberFormat="1" applyFont="1"/>
    <xf numFmtId="0" fontId="9" fillId="0" borderId="0" xfId="0" applyFont="1"/>
    <xf numFmtId="168" fontId="0" fillId="0" borderId="0" xfId="0" applyNumberFormat="1" applyFont="1" applyFill="1"/>
    <xf numFmtId="0" fontId="9" fillId="0" borderId="0" xfId="0" applyFont="1" applyBorder="1"/>
    <xf numFmtId="0" fontId="11" fillId="0" borderId="0" xfId="0" applyFont="1"/>
    <xf numFmtId="0" fontId="12" fillId="0" borderId="0" xfId="0" applyFont="1"/>
    <xf numFmtId="3" fontId="0" fillId="0" borderId="0" xfId="0" applyNumberFormat="1" applyFont="1"/>
    <xf numFmtId="1" fontId="0" fillId="0" borderId="0" xfId="0" applyNumberFormat="1" applyFont="1"/>
    <xf numFmtId="3" fontId="0" fillId="0" borderId="0" xfId="0" applyNumberFormat="1"/>
    <xf numFmtId="0" fontId="12" fillId="0" borderId="0" xfId="0" applyFont="1" applyBorder="1"/>
    <xf numFmtId="168" fontId="0" fillId="0" borderId="0" xfId="0" applyNumberFormat="1"/>
    <xf numFmtId="168" fontId="0" fillId="3" borderId="1" xfId="0" applyNumberFormat="1" applyFont="1" applyFill="1" applyBorder="1" applyAlignment="1">
      <alignment horizontal="right" vertical="center"/>
    </xf>
    <xf numFmtId="168" fontId="2" fillId="3" borderId="3" xfId="0" applyNumberFormat="1" applyFont="1" applyFill="1" applyBorder="1" applyAlignment="1">
      <alignment horizontal="right" vertical="center"/>
    </xf>
    <xf numFmtId="0" fontId="0" fillId="3" borderId="2" xfId="0" applyFont="1" applyFill="1" applyBorder="1" applyAlignment="1">
      <alignment vertical="center"/>
    </xf>
    <xf numFmtId="168" fontId="0" fillId="3" borderId="2" xfId="0" applyNumberFormat="1" applyFont="1" applyFill="1" applyBorder="1" applyAlignment="1">
      <alignment horizontal="right" vertical="center"/>
    </xf>
    <xf numFmtId="43" fontId="0" fillId="0" borderId="0" xfId="1" applyFont="1"/>
    <xf numFmtId="168" fontId="9" fillId="0" borderId="0" xfId="0" applyNumberFormat="1" applyFont="1"/>
    <xf numFmtId="169" fontId="0" fillId="0" borderId="0" xfId="0" applyNumberFormat="1" applyFont="1"/>
    <xf numFmtId="170" fontId="2" fillId="3" borderId="5" xfId="4" applyNumberFormat="1" applyFont="1" applyFill="1" applyBorder="1" applyAlignment="1">
      <alignment horizontal="right" vertical="center"/>
    </xf>
    <xf numFmtId="170" fontId="2" fillId="5" borderId="5" xfId="4" applyNumberFormat="1" applyFont="1" applyFill="1" applyBorder="1" applyAlignment="1">
      <alignment horizontal="right" vertical="center"/>
    </xf>
    <xf numFmtId="0" fontId="0" fillId="3" borderId="6" xfId="0" applyFont="1" applyFill="1" applyBorder="1" applyAlignment="1">
      <alignment horizontal="left" vertical="center"/>
    </xf>
    <xf numFmtId="170" fontId="2" fillId="3" borderId="7" xfId="4" applyNumberFormat="1" applyFont="1" applyFill="1" applyBorder="1" applyAlignment="1">
      <alignment horizontal="right" vertical="center"/>
    </xf>
    <xf numFmtId="0" fontId="0" fillId="0" borderId="6" xfId="0" applyFont="1" applyBorder="1"/>
    <xf numFmtId="170" fontId="0" fillId="6" borderId="8" xfId="4" applyNumberFormat="1" applyFont="1" applyFill="1" applyBorder="1"/>
    <xf numFmtId="170" fontId="0" fillId="0" borderId="6" xfId="4" applyNumberFormat="1" applyFont="1" applyFill="1" applyBorder="1"/>
    <xf numFmtId="170" fontId="0" fillId="0" borderId="0" xfId="4" applyNumberFormat="1" applyFont="1" applyFill="1" applyBorder="1"/>
    <xf numFmtId="5" fontId="0" fillId="0" borderId="0" xfId="1" applyNumberFormat="1" applyFont="1" applyFill="1" applyBorder="1"/>
    <xf numFmtId="5" fontId="0" fillId="0" borderId="0" xfId="1" applyNumberFormat="1" applyFont="1" applyBorder="1"/>
    <xf numFmtId="165" fontId="0" fillId="0" borderId="6" xfId="1" applyNumberFormat="1" applyFont="1" applyBorder="1"/>
    <xf numFmtId="5" fontId="0" fillId="0" borderId="6" xfId="1" applyNumberFormat="1" applyFont="1" applyFill="1" applyBorder="1"/>
    <xf numFmtId="170" fontId="2" fillId="0" borderId="0" xfId="4" applyNumberFormat="1" applyFont="1" applyFill="1" applyBorder="1"/>
    <xf numFmtId="0" fontId="2" fillId="0" borderId="0" xfId="0" applyFont="1" applyFill="1" applyBorder="1"/>
    <xf numFmtId="5" fontId="2" fillId="0" borderId="0" xfId="0" applyNumberFormat="1" applyFont="1" applyFill="1" applyBorder="1"/>
    <xf numFmtId="10" fontId="0" fillId="6" borderId="8" xfId="0" applyNumberFormat="1" applyFont="1" applyFill="1" applyBorder="1"/>
    <xf numFmtId="9" fontId="0" fillId="6" borderId="8" xfId="2" applyNumberFormat="1" applyFont="1" applyFill="1" applyBorder="1"/>
    <xf numFmtId="167" fontId="2" fillId="6" borderId="5" xfId="0" applyNumberFormat="1" applyFont="1" applyFill="1" applyBorder="1" applyAlignment="1">
      <alignment horizontal="right" vertical="center"/>
    </xf>
    <xf numFmtId="170" fontId="0" fillId="3" borderId="1" xfId="4" applyNumberFormat="1" applyFont="1" applyFill="1" applyBorder="1" applyAlignment="1">
      <alignment horizontal="right" vertical="center"/>
    </xf>
    <xf numFmtId="170" fontId="0" fillId="3" borderId="0" xfId="4" applyNumberFormat="1" applyFont="1" applyFill="1" applyBorder="1" applyAlignment="1">
      <alignment horizontal="right" vertical="center"/>
    </xf>
    <xf numFmtId="170" fontId="2" fillId="3" borderId="4" xfId="4" applyNumberFormat="1" applyFont="1" applyFill="1" applyBorder="1" applyAlignment="1">
      <alignment horizontal="right" vertical="center"/>
    </xf>
    <xf numFmtId="165" fontId="0" fillId="6" borderId="8" xfId="1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right" vertical="center" wrapText="1"/>
    </xf>
    <xf numFmtId="0" fontId="0" fillId="6" borderId="8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0" fontId="0" fillId="3" borderId="9" xfId="0" applyFont="1" applyFill="1" applyBorder="1" applyAlignment="1">
      <alignment vertical="center"/>
    </xf>
    <xf numFmtId="168" fontId="0" fillId="3" borderId="9" xfId="0" applyNumberFormat="1" applyFont="1" applyFill="1" applyBorder="1" applyAlignment="1">
      <alignment horizontal="right" vertical="center"/>
    </xf>
    <xf numFmtId="170" fontId="0" fillId="6" borderId="8" xfId="4" applyNumberFormat="1" applyFont="1" applyFill="1" applyBorder="1" applyAlignment="1">
      <alignment horizontal="right" vertical="center"/>
    </xf>
    <xf numFmtId="170" fontId="2" fillId="3" borderId="2" xfId="4" applyNumberFormat="1" applyFont="1" applyFill="1" applyBorder="1" applyAlignment="1">
      <alignment horizontal="right" vertical="center"/>
    </xf>
    <xf numFmtId="170" fontId="2" fillId="3" borderId="0" xfId="4" applyNumberFormat="1" applyFont="1" applyFill="1" applyBorder="1" applyAlignment="1">
      <alignment horizontal="right" vertical="center"/>
    </xf>
    <xf numFmtId="170" fontId="0" fillId="3" borderId="2" xfId="4" applyNumberFormat="1" applyFont="1" applyFill="1" applyBorder="1" applyAlignment="1">
      <alignment horizontal="right" vertical="center"/>
    </xf>
    <xf numFmtId="170" fontId="2" fillId="3" borderId="3" xfId="4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/>
    </xf>
    <xf numFmtId="170" fontId="0" fillId="0" borderId="0" xfId="4" applyNumberFormat="1" applyFont="1" applyBorder="1"/>
    <xf numFmtId="170" fontId="0" fillId="0" borderId="6" xfId="4" applyNumberFormat="1" applyFont="1" applyBorder="1"/>
    <xf numFmtId="168" fontId="0" fillId="0" borderId="0" xfId="1" applyNumberFormat="1" applyFont="1" applyBorder="1" applyAlignment="1">
      <alignment horizontal="center"/>
    </xf>
    <xf numFmtId="168" fontId="0" fillId="0" borderId="6" xfId="1" applyNumberFormat="1" applyFont="1" applyBorder="1" applyAlignment="1">
      <alignment horizontal="center"/>
    </xf>
    <xf numFmtId="170" fontId="2" fillId="0" borderId="0" xfId="4" applyNumberFormat="1" applyFont="1" applyBorder="1"/>
    <xf numFmtId="168" fontId="2" fillId="0" borderId="0" xfId="0" applyNumberFormat="1" applyFont="1" applyBorder="1" applyAlignment="1">
      <alignment horizontal="center"/>
    </xf>
    <xf numFmtId="170" fontId="0" fillId="3" borderId="9" xfId="4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center"/>
    </xf>
  </cellXfs>
  <cellStyles count="5">
    <cellStyle name="Comma" xfId="1" builtinId="3"/>
    <cellStyle name="Currency" xfId="4" builtinId="4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19"/>
  <sheetViews>
    <sheetView showGridLines="0" tabSelected="1" zoomScale="80" zoomScaleNormal="80" workbookViewId="0"/>
  </sheetViews>
  <sheetFormatPr defaultColWidth="0" defaultRowHeight="12.75" zeroHeight="1" x14ac:dyDescent="0.2"/>
  <cols>
    <col min="1" max="1" width="3.375" customWidth="1"/>
    <col min="2" max="2" width="43.375" customWidth="1"/>
    <col min="3" max="3" width="20.5" customWidth="1"/>
    <col min="4" max="4" width="4.75" customWidth="1"/>
    <col min="5" max="5" width="36.5" customWidth="1"/>
    <col min="6" max="6" width="9" customWidth="1"/>
    <col min="7" max="7" width="12" bestFit="1" customWidth="1"/>
    <col min="8" max="13" width="9" customWidth="1"/>
    <col min="14" max="14" width="3.125" customWidth="1"/>
    <col min="15" max="16384" width="9" hidden="1"/>
  </cols>
  <sheetData>
    <row r="1" spans="2:13" ht="21.75" customHeight="1" x14ac:dyDescent="0.2"/>
    <row r="2" spans="2:13" ht="17.25" customHeight="1" x14ac:dyDescent="0.2">
      <c r="B2" s="5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2:13" x14ac:dyDescent="0.2"/>
    <row r="4" spans="2:13" ht="15" x14ac:dyDescent="0.2">
      <c r="B4" s="29" t="s">
        <v>23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2:13" ht="18" x14ac:dyDescent="0.25">
      <c r="B5" s="25"/>
      <c r="C5" s="50"/>
    </row>
    <row r="6" spans="2:13" x14ac:dyDescent="0.2">
      <c r="B6" s="26" t="s">
        <v>28</v>
      </c>
      <c r="C6" s="26" t="s">
        <v>8</v>
      </c>
    </row>
    <row r="7" spans="2:13" ht="13.5" thickBot="1" x14ac:dyDescent="0.25">
      <c r="B7" s="27" t="str">
        <f>'Option 1'!B2</f>
        <v>Option 1 - Reference case</v>
      </c>
      <c r="C7" s="63">
        <f>'Option 1'!D54</f>
        <v>-55265509.162851825</v>
      </c>
      <c r="G7" s="55"/>
    </row>
    <row r="8" spans="2:13" ht="13.5" thickBot="1" x14ac:dyDescent="0.25">
      <c r="B8" s="35" t="str">
        <f>'Option 2'!B2</f>
        <v>Option 2 - Move to 4G / 5G</v>
      </c>
      <c r="C8" s="64">
        <f>'Option 2'!D81</f>
        <v>-5492333.2574229529</v>
      </c>
      <c r="E8" s="32" t="s">
        <v>34</v>
      </c>
      <c r="G8" s="55"/>
    </row>
    <row r="9" spans="2:13" x14ac:dyDescent="0.2">
      <c r="B9" s="65" t="str">
        <f>'Option 3'!B2</f>
        <v>Option 3 - Move to another technology</v>
      </c>
      <c r="C9" s="66">
        <f>'Option 3'!D97</f>
        <v>-21516372.771223791</v>
      </c>
      <c r="G9" s="55"/>
    </row>
    <row r="10" spans="2:13" x14ac:dyDescent="0.2">
      <c r="C10" s="3"/>
    </row>
    <row r="11" spans="2:13" hidden="1" x14ac:dyDescent="0.2"/>
    <row r="12" spans="2:13" hidden="1" x14ac:dyDescent="0.2"/>
    <row r="13" spans="2:13" hidden="1" x14ac:dyDescent="0.2"/>
    <row r="14" spans="2:13" hidden="1" x14ac:dyDescent="0.2">
      <c r="E14" s="53"/>
    </row>
    <row r="15" spans="2:13" hidden="1" x14ac:dyDescent="0.2">
      <c r="E15" s="53"/>
    </row>
    <row r="16" spans="2:13" hidden="1" x14ac:dyDescent="0.2">
      <c r="E16" s="53"/>
    </row>
    <row r="17" spans="2:2" hidden="1" x14ac:dyDescent="0.2"/>
    <row r="18" spans="2:2" hidden="1" x14ac:dyDescent="0.2">
      <c r="B18" s="46"/>
    </row>
    <row r="19" spans="2:2" hidden="1" x14ac:dyDescent="0.2">
      <c r="B19" s="4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showGridLines="0" zoomScale="80" zoomScaleNormal="80" workbookViewId="0">
      <selection activeCell="D7" sqref="D7"/>
    </sheetView>
  </sheetViews>
  <sheetFormatPr defaultColWidth="0" defaultRowHeight="12.75" zeroHeight="1" x14ac:dyDescent="0.2"/>
  <cols>
    <col min="1" max="1" width="3.875" customWidth="1"/>
    <col min="2" max="2" width="50.875" customWidth="1"/>
    <col min="3" max="3" width="29.75" bestFit="1" customWidth="1"/>
    <col min="4" max="4" width="19.375" customWidth="1"/>
    <col min="5" max="13" width="15.625" customWidth="1"/>
    <col min="14" max="14" width="4.125" customWidth="1"/>
    <col min="15" max="16384" width="9" hidden="1"/>
  </cols>
  <sheetData>
    <row r="1" spans="2:14" x14ac:dyDescent="0.2"/>
    <row r="2" spans="2:14" ht="15" customHeight="1" x14ac:dyDescent="0.2">
      <c r="B2" s="5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2:14" x14ac:dyDescent="0.2"/>
    <row r="4" spans="2:14" s="10" customFormat="1" ht="16.5" customHeight="1" x14ac:dyDescent="0.2">
      <c r="B4" s="29" t="s">
        <v>35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2:14" x14ac:dyDescent="0.2"/>
    <row r="6" spans="2:14" x14ac:dyDescent="0.2">
      <c r="B6" s="10"/>
      <c r="C6" s="10"/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"/>
    </row>
    <row r="7" spans="2:14" x14ac:dyDescent="0.2">
      <c r="B7" s="10"/>
      <c r="C7" s="8"/>
      <c r="D7" s="28" t="s">
        <v>44</v>
      </c>
      <c r="E7" s="28" t="s">
        <v>45</v>
      </c>
      <c r="F7" s="28" t="s">
        <v>46</v>
      </c>
      <c r="G7" s="28" t="s">
        <v>47</v>
      </c>
      <c r="H7" s="28" t="s">
        <v>48</v>
      </c>
      <c r="I7" s="28" t="s">
        <v>49</v>
      </c>
      <c r="J7" s="28" t="s">
        <v>50</v>
      </c>
      <c r="K7" s="28" t="s">
        <v>51</v>
      </c>
      <c r="L7" s="28" t="s">
        <v>52</v>
      </c>
      <c r="M7" s="28" t="s">
        <v>53</v>
      </c>
      <c r="N7" s="10"/>
    </row>
    <row r="8" spans="2:14" x14ac:dyDescent="0.2">
      <c r="B8" s="9" t="s">
        <v>1</v>
      </c>
      <c r="C8" s="67"/>
      <c r="D8" s="68">
        <v>0</v>
      </c>
      <c r="E8" s="69">
        <f>$C$44/2</f>
        <v>1550000</v>
      </c>
      <c r="F8" s="69">
        <f>$C$44/2</f>
        <v>1550000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10"/>
    </row>
    <row r="9" spans="2:14" x14ac:dyDescent="0.2">
      <c r="B9" s="9"/>
      <c r="C9" s="8" t="s">
        <v>18</v>
      </c>
      <c r="D9" s="75">
        <f>SUM(D8)</f>
        <v>0</v>
      </c>
      <c r="E9" s="75">
        <f t="shared" ref="E9:M9" si="0">SUM(E8)</f>
        <v>1550000</v>
      </c>
      <c r="F9" s="75">
        <f t="shared" si="0"/>
        <v>1550000</v>
      </c>
      <c r="G9" s="75">
        <f t="shared" si="0"/>
        <v>0</v>
      </c>
      <c r="H9" s="75">
        <f t="shared" si="0"/>
        <v>0</v>
      </c>
      <c r="I9" s="75">
        <f t="shared" si="0"/>
        <v>0</v>
      </c>
      <c r="J9" s="75">
        <f t="shared" si="0"/>
        <v>0</v>
      </c>
      <c r="K9" s="75">
        <f t="shared" si="0"/>
        <v>0</v>
      </c>
      <c r="L9" s="75">
        <f t="shared" si="0"/>
        <v>0</v>
      </c>
      <c r="M9" s="75">
        <f t="shared" si="0"/>
        <v>0</v>
      </c>
      <c r="N9" s="10"/>
    </row>
    <row r="10" spans="2:14" ht="24.75" customHeight="1" x14ac:dyDescent="0.2">
      <c r="B10" s="14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0"/>
    </row>
    <row r="11" spans="2:14" x14ac:dyDescent="0.2">
      <c r="B11" s="9" t="s">
        <v>2</v>
      </c>
      <c r="C11" s="11" t="s">
        <v>3</v>
      </c>
      <c r="D11" s="7"/>
      <c r="E11" s="71">
        <f>-$C$28*E19</f>
        <v>-701109.20880000002</v>
      </c>
      <c r="F11" s="71">
        <f>-$C$28*F19</f>
        <v>-2337030.696</v>
      </c>
      <c r="G11" s="71">
        <f t="shared" ref="G11:M11" si="1">-$C$28*G19</f>
        <v>-2337030.696</v>
      </c>
      <c r="H11" s="71">
        <f t="shared" si="1"/>
        <v>-2337030.696</v>
      </c>
      <c r="I11" s="71">
        <f t="shared" si="1"/>
        <v>-2337030.696</v>
      </c>
      <c r="J11" s="71">
        <f t="shared" si="1"/>
        <v>-2337030.696</v>
      </c>
      <c r="K11" s="71">
        <f t="shared" si="1"/>
        <v>-2337030.696</v>
      </c>
      <c r="L11" s="71">
        <f t="shared" si="1"/>
        <v>-2337030.696</v>
      </c>
      <c r="M11" s="71">
        <f t="shared" si="1"/>
        <v>-2337030.696</v>
      </c>
      <c r="N11" s="10"/>
    </row>
    <row r="12" spans="2:14" x14ac:dyDescent="0.2">
      <c r="B12" s="11"/>
      <c r="C12" s="11" t="s">
        <v>4</v>
      </c>
      <c r="D12" s="72"/>
      <c r="E12" s="71">
        <f>-$C$32*E19*-1</f>
        <v>-177000</v>
      </c>
      <c r="F12" s="71">
        <f>-$C$32*F19*-1</f>
        <v>-590000</v>
      </c>
      <c r="G12" s="71">
        <f t="shared" ref="G12:M12" si="2">-$C$32*G19*-1</f>
        <v>-590000</v>
      </c>
      <c r="H12" s="71">
        <f t="shared" si="2"/>
        <v>-590000</v>
      </c>
      <c r="I12" s="71">
        <f t="shared" si="2"/>
        <v>-590000</v>
      </c>
      <c r="J12" s="71">
        <f t="shared" si="2"/>
        <v>-590000</v>
      </c>
      <c r="K12" s="71">
        <f t="shared" si="2"/>
        <v>-590000</v>
      </c>
      <c r="L12" s="71">
        <f t="shared" si="2"/>
        <v>-590000</v>
      </c>
      <c r="M12" s="71">
        <f t="shared" si="2"/>
        <v>-590000</v>
      </c>
      <c r="N12" s="10"/>
    </row>
    <row r="13" spans="2:14" x14ac:dyDescent="0.2">
      <c r="B13" s="11"/>
      <c r="C13" s="11" t="s">
        <v>41</v>
      </c>
      <c r="D13" s="7"/>
      <c r="E13" s="71">
        <f>E19*$C$36</f>
        <v>-1260000</v>
      </c>
      <c r="F13" s="71">
        <f t="shared" ref="F13:M13" si="3">F19*$C$36</f>
        <v>-4200000</v>
      </c>
      <c r="G13" s="71">
        <f t="shared" si="3"/>
        <v>-4200000</v>
      </c>
      <c r="H13" s="71">
        <f t="shared" si="3"/>
        <v>-4200000</v>
      </c>
      <c r="I13" s="71">
        <f t="shared" si="3"/>
        <v>-4200000</v>
      </c>
      <c r="J13" s="71">
        <f t="shared" si="3"/>
        <v>-4200000</v>
      </c>
      <c r="K13" s="71">
        <f t="shared" si="3"/>
        <v>-4200000</v>
      </c>
      <c r="L13" s="71">
        <f t="shared" si="3"/>
        <v>-4200000</v>
      </c>
      <c r="M13" s="71">
        <f t="shared" si="3"/>
        <v>-4200000</v>
      </c>
      <c r="N13" s="10"/>
    </row>
    <row r="14" spans="2:14" x14ac:dyDescent="0.2">
      <c r="B14" s="11"/>
      <c r="C14" s="67" t="s">
        <v>56</v>
      </c>
      <c r="D14" s="73"/>
      <c r="E14" s="74">
        <f>E19*$C$40</f>
        <v>-45000</v>
      </c>
      <c r="F14" s="74">
        <f t="shared" ref="F14:M14" si="4">F19*$C$40</f>
        <v>-150000</v>
      </c>
      <c r="G14" s="74">
        <f t="shared" si="4"/>
        <v>-150000</v>
      </c>
      <c r="H14" s="74">
        <f t="shared" si="4"/>
        <v>-150000</v>
      </c>
      <c r="I14" s="74">
        <f t="shared" si="4"/>
        <v>-150000</v>
      </c>
      <c r="J14" s="74">
        <f t="shared" si="4"/>
        <v>-150000</v>
      </c>
      <c r="K14" s="74">
        <f t="shared" si="4"/>
        <v>-150000</v>
      </c>
      <c r="L14" s="74">
        <f t="shared" si="4"/>
        <v>-150000</v>
      </c>
      <c r="M14" s="74">
        <f t="shared" si="4"/>
        <v>-150000</v>
      </c>
      <c r="N14" s="10"/>
    </row>
    <row r="15" spans="2:14" x14ac:dyDescent="0.2">
      <c r="B15" s="10"/>
      <c r="C15" s="76" t="s">
        <v>18</v>
      </c>
      <c r="D15" s="8"/>
      <c r="E15" s="77">
        <f>SUM(E11:E14)</f>
        <v>-2183109.2088000001</v>
      </c>
      <c r="F15" s="77">
        <f t="shared" ref="F15:M15" si="5">SUM(F11:F14)</f>
        <v>-7277030.6960000005</v>
      </c>
      <c r="G15" s="77">
        <f t="shared" si="5"/>
        <v>-7277030.6960000005</v>
      </c>
      <c r="H15" s="77">
        <f t="shared" si="5"/>
        <v>-7277030.6960000005</v>
      </c>
      <c r="I15" s="77">
        <f t="shared" si="5"/>
        <v>-7277030.6960000005</v>
      </c>
      <c r="J15" s="77">
        <f t="shared" si="5"/>
        <v>-7277030.6960000005</v>
      </c>
      <c r="K15" s="77">
        <f t="shared" si="5"/>
        <v>-7277030.6960000005</v>
      </c>
      <c r="L15" s="77">
        <f t="shared" si="5"/>
        <v>-7277030.6960000005</v>
      </c>
      <c r="M15" s="77">
        <f t="shared" si="5"/>
        <v>-7277030.6960000005</v>
      </c>
      <c r="N15" s="10"/>
    </row>
    <row r="16" spans="2:14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x14ac:dyDescent="0.2">
      <c r="B17" s="33" t="s">
        <v>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x14ac:dyDescent="0.2">
      <c r="B18" s="34" t="s">
        <v>7</v>
      </c>
      <c r="C18" s="78">
        <v>2.75E-2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2">
      <c r="B19" s="34" t="s">
        <v>6</v>
      </c>
      <c r="C19" s="10"/>
      <c r="D19" s="79">
        <v>0</v>
      </c>
      <c r="E19" s="79">
        <v>0.3</v>
      </c>
      <c r="F19" s="79">
        <v>1</v>
      </c>
      <c r="G19" s="79">
        <v>1</v>
      </c>
      <c r="H19" s="79">
        <v>1</v>
      </c>
      <c r="I19" s="79">
        <v>1</v>
      </c>
      <c r="J19" s="79">
        <v>1</v>
      </c>
      <c r="K19" s="79">
        <v>1</v>
      </c>
      <c r="L19" s="79">
        <v>1</v>
      </c>
      <c r="M19" s="79">
        <f>L19</f>
        <v>1</v>
      </c>
      <c r="N19" s="10"/>
    </row>
    <row r="20" spans="1:14" x14ac:dyDescent="0.2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s="10" customFormat="1" ht="16.5" customHeight="1" x14ac:dyDescent="0.2">
      <c r="B21" s="29" t="s">
        <v>31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14" x14ac:dyDescent="0.2">
      <c r="A22" s="10"/>
      <c r="B22" s="10" t="s">
        <v>32</v>
      </c>
      <c r="C22" s="12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4" x14ac:dyDescent="0.2">
      <c r="A23" s="10"/>
      <c r="B23" s="10"/>
      <c r="C23" s="12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14" x14ac:dyDescent="0.2">
      <c r="A24" s="10"/>
      <c r="B24" s="10"/>
      <c r="C24" s="12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4" s="10" customFormat="1" ht="16.5" customHeight="1" x14ac:dyDescent="0.2">
      <c r="B25" s="29" t="s">
        <v>2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4" x14ac:dyDescent="0.2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2">
      <c r="B27" s="1" t="s">
        <v>24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13.5" thickBot="1" x14ac:dyDescent="0.25">
      <c r="B28" s="31" t="s">
        <v>54</v>
      </c>
      <c r="C28" s="80">
        <v>2337030.696</v>
      </c>
      <c r="D28" s="46"/>
      <c r="E28" s="61"/>
      <c r="F28" s="61"/>
      <c r="G28" s="10"/>
      <c r="H28" s="10"/>
      <c r="I28" s="10"/>
      <c r="J28" s="10"/>
      <c r="K28" s="10"/>
      <c r="L28" s="10"/>
      <c r="M28" s="10"/>
      <c r="N28" s="10"/>
    </row>
    <row r="29" spans="1:14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x14ac:dyDescent="0.2">
      <c r="B30" s="1" t="s">
        <v>63</v>
      </c>
      <c r="C30" s="10"/>
      <c r="D30" s="10"/>
      <c r="E30" s="52"/>
      <c r="F30" s="10"/>
      <c r="G30" s="10"/>
      <c r="H30" s="10"/>
      <c r="I30" s="10"/>
      <c r="J30" s="10"/>
      <c r="K30" s="10"/>
      <c r="L30" s="10"/>
      <c r="M30" s="10"/>
      <c r="N30" s="10"/>
    </row>
    <row r="31" spans="1:14" x14ac:dyDescent="0.2">
      <c r="B31" s="26"/>
      <c r="C31" s="26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3.5" thickBot="1" x14ac:dyDescent="0.25">
      <c r="A32" s="10"/>
      <c r="B32" s="31" t="s">
        <v>40</v>
      </c>
      <c r="C32" s="80">
        <v>-590000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x14ac:dyDescent="0.2">
      <c r="A34" s="10"/>
      <c r="B34" s="1" t="s">
        <v>64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x14ac:dyDescent="0.2">
      <c r="A35" s="10"/>
      <c r="B35" s="26"/>
      <c r="C35" s="26"/>
      <c r="D35" s="10"/>
      <c r="E35" s="46"/>
      <c r="F35" s="10"/>
      <c r="G35" s="10"/>
      <c r="H35" s="10"/>
      <c r="I35" s="10"/>
      <c r="J35" s="10"/>
      <c r="K35" s="10"/>
      <c r="L35" s="10"/>
      <c r="M35" s="10"/>
      <c r="N35" s="10"/>
    </row>
    <row r="36" spans="1:14" ht="13.5" thickBot="1" x14ac:dyDescent="0.25">
      <c r="A36" s="10"/>
      <c r="B36" s="31" t="s">
        <v>40</v>
      </c>
      <c r="C36" s="80">
        <v>-4200000</v>
      </c>
      <c r="D36" s="10"/>
      <c r="F36" s="60"/>
      <c r="G36" s="10"/>
      <c r="H36" s="10"/>
      <c r="I36" s="10"/>
      <c r="J36" s="10"/>
      <c r="K36" s="10"/>
      <c r="L36" s="10"/>
      <c r="M36" s="10"/>
      <c r="N36" s="10"/>
    </row>
    <row r="37" spans="1:14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2">
      <c r="A38" s="10"/>
      <c r="B38" s="1" t="s">
        <v>65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2">
      <c r="A39" s="10"/>
      <c r="B39" s="26"/>
      <c r="C39" s="26"/>
      <c r="D39" s="10"/>
      <c r="E39" s="46"/>
      <c r="F39" s="10"/>
      <c r="G39" s="10"/>
      <c r="H39" s="10"/>
      <c r="I39" s="10"/>
      <c r="J39" s="10"/>
      <c r="K39" s="10"/>
      <c r="L39" s="10"/>
      <c r="M39" s="10"/>
      <c r="N39" s="10"/>
    </row>
    <row r="40" spans="1:14" ht="13.5" thickBot="1" x14ac:dyDescent="0.25">
      <c r="A40" s="10"/>
      <c r="B40" s="31" t="s">
        <v>40</v>
      </c>
      <c r="C40" s="80">
        <v>-150000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" t="s">
        <v>66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2">
      <c r="A43" s="10"/>
      <c r="B43" s="26"/>
      <c r="C43" s="26"/>
      <c r="D43" s="10"/>
      <c r="E43" s="46"/>
      <c r="F43" s="10"/>
      <c r="G43" s="10"/>
      <c r="H43" s="10"/>
      <c r="I43" s="10"/>
      <c r="J43" s="10"/>
      <c r="K43" s="10"/>
      <c r="L43" s="10"/>
      <c r="M43" s="10"/>
      <c r="N43" s="10"/>
    </row>
    <row r="44" spans="1:14" ht="13.5" thickBot="1" x14ac:dyDescent="0.25">
      <c r="A44" s="10"/>
      <c r="B44" s="31" t="s">
        <v>57</v>
      </c>
      <c r="C44" s="31">
        <f>42*50000+1000000</f>
        <v>3100000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s="10" customFormat="1" ht="15" x14ac:dyDescent="0.2">
      <c r="B46" s="29" t="s">
        <v>33</v>
      </c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</row>
    <row r="47" spans="1:14" x14ac:dyDescent="0.2">
      <c r="A47" s="10"/>
      <c r="B47" s="1"/>
      <c r="C47" s="10"/>
      <c r="D47" s="5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ht="13.5" thickBot="1" x14ac:dyDescent="0.25">
      <c r="A48" s="10"/>
      <c r="B48" s="16" t="s">
        <v>9</v>
      </c>
      <c r="C48" s="17" t="s">
        <v>10</v>
      </c>
      <c r="D48" s="17" t="s">
        <v>11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ht="13.5" thickBot="1" x14ac:dyDescent="0.25">
      <c r="A49" s="10"/>
      <c r="B49" s="18" t="s">
        <v>3</v>
      </c>
      <c r="C49" s="81" t="s">
        <v>12</v>
      </c>
      <c r="D49" s="81">
        <f>NPV($C$18,D11:M11)</f>
        <v>-16818238.20144387</v>
      </c>
      <c r="E49" s="10"/>
      <c r="F49" s="51"/>
      <c r="G49" s="51"/>
      <c r="H49" s="10"/>
      <c r="I49" s="10"/>
      <c r="J49" s="10"/>
      <c r="K49" s="10"/>
      <c r="L49" s="10"/>
      <c r="M49" s="10"/>
      <c r="N49" s="10"/>
    </row>
    <row r="50" spans="1:14" ht="13.5" thickBot="1" x14ac:dyDescent="0.25">
      <c r="A50" s="10"/>
      <c r="B50" s="18" t="s">
        <v>13</v>
      </c>
      <c r="C50" s="81" t="s">
        <v>12</v>
      </c>
      <c r="D50" s="81">
        <f>NPV($C$18,D12:M12)</f>
        <v>-4245883.7001308603</v>
      </c>
      <c r="E50" s="10"/>
      <c r="F50" s="51"/>
      <c r="G50" s="51"/>
      <c r="H50" s="10"/>
      <c r="I50" s="10"/>
      <c r="J50" s="10"/>
      <c r="K50" s="10"/>
      <c r="L50" s="10"/>
      <c r="M50" s="10"/>
      <c r="N50" s="10"/>
    </row>
    <row r="51" spans="1:14" ht="13.5" thickBot="1" x14ac:dyDescent="0.25">
      <c r="A51" s="10"/>
      <c r="B51" s="20" t="s">
        <v>41</v>
      </c>
      <c r="C51" s="82" t="s">
        <v>12</v>
      </c>
      <c r="D51" s="81">
        <f>NPV($C$18,D13:M13)</f>
        <v>-30224934.814490873</v>
      </c>
      <c r="E51" s="10"/>
      <c r="F51" s="51"/>
      <c r="G51" s="51"/>
      <c r="H51" s="10"/>
      <c r="I51" s="10"/>
      <c r="J51" s="10"/>
      <c r="K51" s="10"/>
      <c r="L51" s="10"/>
      <c r="M51" s="10"/>
      <c r="N51" s="10"/>
    </row>
    <row r="52" spans="1:14" ht="13.5" thickBot="1" x14ac:dyDescent="0.25">
      <c r="A52" s="10"/>
      <c r="B52" s="20" t="s">
        <v>56</v>
      </c>
      <c r="C52" s="82" t="s">
        <v>12</v>
      </c>
      <c r="D52" s="81">
        <f>NPV($C$18,D14:M14)</f>
        <v>-1079461.9576603884</v>
      </c>
      <c r="E52" s="10"/>
      <c r="F52" s="51"/>
      <c r="G52" s="51"/>
      <c r="H52" s="10"/>
      <c r="I52" s="10"/>
      <c r="J52" s="10"/>
      <c r="K52" s="10"/>
      <c r="L52" s="10"/>
      <c r="M52" s="10"/>
      <c r="N52" s="10"/>
    </row>
    <row r="53" spans="1:14" x14ac:dyDescent="0.2">
      <c r="A53" s="10"/>
      <c r="B53" s="20" t="s">
        <v>43</v>
      </c>
      <c r="C53" s="82">
        <f>NPV($C$18,D9:M9)</f>
        <v>2896990.4891258352</v>
      </c>
      <c r="D53" s="82"/>
      <c r="E53" s="10"/>
      <c r="F53" s="51"/>
      <c r="G53" s="51"/>
      <c r="H53" s="10"/>
      <c r="I53" s="10"/>
      <c r="J53" s="10"/>
      <c r="K53" s="10"/>
      <c r="L53" s="10"/>
      <c r="M53" s="10"/>
      <c r="N53" s="10"/>
    </row>
    <row r="54" spans="1:14" ht="13.5" thickBot="1" x14ac:dyDescent="0.25">
      <c r="A54" s="10"/>
      <c r="B54" s="30" t="s">
        <v>14</v>
      </c>
      <c r="C54" s="83"/>
      <c r="D54" s="83">
        <f>SUM(D49:D53)-SUM(C49:C53)</f>
        <v>-55265509.162851825</v>
      </c>
      <c r="E54" s="10"/>
      <c r="F54" s="51"/>
      <c r="G54" s="51"/>
      <c r="H54" s="10"/>
      <c r="I54" s="10"/>
      <c r="J54" s="10"/>
      <c r="K54" s="10"/>
      <c r="L54" s="10"/>
      <c r="M54" s="10"/>
      <c r="N54" s="10"/>
    </row>
    <row r="55" spans="1:14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hidden="1" x14ac:dyDescent="0.2">
      <c r="A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</sheetData>
  <mergeCells count="1">
    <mergeCell ref="D6:M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3"/>
  <sheetViews>
    <sheetView showGridLines="0" zoomScale="80" zoomScaleNormal="80" workbookViewId="0"/>
  </sheetViews>
  <sheetFormatPr defaultColWidth="0" defaultRowHeight="12.75" zeroHeight="1" x14ac:dyDescent="0.2"/>
  <cols>
    <col min="1" max="1" width="3.5" customWidth="1"/>
    <col min="2" max="2" width="53.75" customWidth="1"/>
    <col min="3" max="3" width="32.5" customWidth="1"/>
    <col min="4" max="13" width="16.25" customWidth="1"/>
    <col min="14" max="14" width="4" customWidth="1"/>
    <col min="15" max="15" width="10.875" hidden="1" customWidth="1"/>
    <col min="16" max="16384" width="9" hidden="1"/>
  </cols>
  <sheetData>
    <row r="1" spans="1:15" x14ac:dyDescent="0.2"/>
    <row r="2" spans="1:15" ht="18.75" customHeight="1" x14ac:dyDescent="0.2">
      <c r="B2" s="5" t="s">
        <v>21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x14ac:dyDescent="0.2"/>
    <row r="4" spans="1:15" s="10" customFormat="1" ht="16.5" customHeight="1" x14ac:dyDescent="0.2">
      <c r="B4" s="29" t="s">
        <v>35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5" x14ac:dyDescent="0.2"/>
    <row r="6" spans="1:15" x14ac:dyDescent="0.2">
      <c r="B6" s="10"/>
      <c r="C6" s="10"/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6"/>
    </row>
    <row r="7" spans="1:15" x14ac:dyDescent="0.2">
      <c r="B7" s="10"/>
      <c r="C7" s="8"/>
      <c r="D7" s="28" t="s">
        <v>44</v>
      </c>
      <c r="E7" s="28" t="s">
        <v>45</v>
      </c>
      <c r="F7" s="28" t="s">
        <v>46</v>
      </c>
      <c r="G7" s="28" t="s">
        <v>47</v>
      </c>
      <c r="H7" s="28" t="s">
        <v>48</v>
      </c>
      <c r="I7" s="28" t="s">
        <v>49</v>
      </c>
      <c r="J7" s="28" t="s">
        <v>50</v>
      </c>
      <c r="K7" s="28" t="s">
        <v>51</v>
      </c>
      <c r="L7" s="28" t="s">
        <v>52</v>
      </c>
      <c r="M7" s="28" t="s">
        <v>53</v>
      </c>
      <c r="N7" s="6"/>
      <c r="O7" s="2"/>
    </row>
    <row r="8" spans="1:15" x14ac:dyDescent="0.2">
      <c r="B8" s="9" t="s">
        <v>1</v>
      </c>
      <c r="C8" s="11" t="s">
        <v>74</v>
      </c>
      <c r="D8" s="70">
        <f>$C$65/2</f>
        <v>1707173.7571428572</v>
      </c>
      <c r="E8" s="70">
        <f>$C$65/2</f>
        <v>1707173.7571428572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"/>
    </row>
    <row r="9" spans="1:15" x14ac:dyDescent="0.2">
      <c r="B9" s="9"/>
      <c r="C9" s="67" t="s">
        <v>75</v>
      </c>
      <c r="D9" s="69">
        <f>$C$64/2</f>
        <v>1152784.3999999999</v>
      </c>
      <c r="E9" s="69">
        <f>$C$64/2</f>
        <v>1152784.3999999999</v>
      </c>
      <c r="F9" s="68"/>
      <c r="G9" s="68"/>
      <c r="H9" s="68"/>
      <c r="I9" s="68"/>
      <c r="J9" s="68"/>
      <c r="K9" s="68"/>
      <c r="L9" s="68"/>
      <c r="M9" s="68"/>
      <c r="N9" s="6"/>
    </row>
    <row r="10" spans="1:15" x14ac:dyDescent="0.2">
      <c r="B10" s="9"/>
      <c r="C10" s="8" t="s">
        <v>18</v>
      </c>
      <c r="D10" s="75">
        <f>SUM(D8:D9)</f>
        <v>2859958.1571428571</v>
      </c>
      <c r="E10" s="75">
        <f t="shared" ref="E10:M10" si="0">SUM(E8:E9)</f>
        <v>2859958.1571428571</v>
      </c>
      <c r="F10" s="75">
        <f t="shared" si="0"/>
        <v>0</v>
      </c>
      <c r="G10" s="75">
        <f t="shared" si="0"/>
        <v>0</v>
      </c>
      <c r="H10" s="75">
        <f t="shared" si="0"/>
        <v>0</v>
      </c>
      <c r="I10" s="75">
        <f t="shared" si="0"/>
        <v>0</v>
      </c>
      <c r="J10" s="75">
        <f t="shared" si="0"/>
        <v>0</v>
      </c>
      <c r="K10" s="75">
        <f t="shared" si="0"/>
        <v>0</v>
      </c>
      <c r="L10" s="75">
        <f t="shared" si="0"/>
        <v>0</v>
      </c>
      <c r="M10" s="75">
        <f t="shared" si="0"/>
        <v>0</v>
      </c>
      <c r="N10" s="6"/>
    </row>
    <row r="11" spans="1:15" x14ac:dyDescent="0.2"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6"/>
    </row>
    <row r="12" spans="1:15" x14ac:dyDescent="0.2">
      <c r="B12" s="9" t="s">
        <v>2</v>
      </c>
      <c r="C12" s="67"/>
      <c r="D12" s="84">
        <v>0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  <c r="N12" s="6"/>
    </row>
    <row r="13" spans="1:15" x14ac:dyDescent="0.2">
      <c r="B13" s="10"/>
      <c r="C13" s="76" t="s">
        <v>18</v>
      </c>
      <c r="D13" s="85">
        <f>SUM(D12)</f>
        <v>0</v>
      </c>
      <c r="E13" s="85">
        <f t="shared" ref="E13:M13" si="1">SUM(E12)</f>
        <v>0</v>
      </c>
      <c r="F13" s="85">
        <f t="shared" si="1"/>
        <v>0</v>
      </c>
      <c r="G13" s="85">
        <f t="shared" si="1"/>
        <v>0</v>
      </c>
      <c r="H13" s="85">
        <f t="shared" si="1"/>
        <v>0</v>
      </c>
      <c r="I13" s="85">
        <f t="shared" si="1"/>
        <v>0</v>
      </c>
      <c r="J13" s="85">
        <f t="shared" si="1"/>
        <v>0</v>
      </c>
      <c r="K13" s="85">
        <f t="shared" si="1"/>
        <v>0</v>
      </c>
      <c r="L13" s="85">
        <f t="shared" si="1"/>
        <v>0</v>
      </c>
      <c r="M13" s="85">
        <f t="shared" si="1"/>
        <v>0</v>
      </c>
    </row>
    <row r="14" spans="1:15" x14ac:dyDescent="0.2">
      <c r="A14" s="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5" x14ac:dyDescent="0.2">
      <c r="A15" s="11"/>
      <c r="B15" s="11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4" x14ac:dyDescent="0.2">
      <c r="A17" s="10"/>
      <c r="B17" s="33" t="s">
        <v>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4" x14ac:dyDescent="0.2">
      <c r="A18" s="10"/>
      <c r="B18" s="34" t="s">
        <v>7</v>
      </c>
      <c r="C18" s="78">
        <v>2.75E-2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4" x14ac:dyDescent="0.2">
      <c r="B19" s="34" t="s">
        <v>6</v>
      </c>
      <c r="C19" s="10"/>
      <c r="D19" s="79">
        <v>0</v>
      </c>
      <c r="E19" s="79">
        <v>0.3</v>
      </c>
      <c r="F19" s="79">
        <v>1</v>
      </c>
      <c r="G19" s="79">
        <v>1</v>
      </c>
      <c r="H19" s="79">
        <v>1</v>
      </c>
      <c r="I19" s="79">
        <v>1</v>
      </c>
      <c r="J19" s="79">
        <v>1</v>
      </c>
      <c r="K19" s="79">
        <v>1</v>
      </c>
      <c r="L19" s="79">
        <v>1</v>
      </c>
      <c r="M19" s="79">
        <f>L19</f>
        <v>1</v>
      </c>
      <c r="N19" s="10"/>
    </row>
    <row r="20" spans="1:14" x14ac:dyDescent="0.2">
      <c r="A20" s="10"/>
      <c r="B20" s="10"/>
      <c r="C20" s="12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4" s="10" customFormat="1" ht="16.5" customHeight="1" x14ac:dyDescent="0.2">
      <c r="B21" s="29" t="s">
        <v>31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14" x14ac:dyDescent="0.2">
      <c r="A22" s="10"/>
      <c r="B22" s="10"/>
      <c r="C22" s="12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14" s="10" customFormat="1" x14ac:dyDescent="0.2">
      <c r="B23" s="1" t="s">
        <v>29</v>
      </c>
      <c r="E23" s="45"/>
      <c r="F23" s="45"/>
      <c r="G23" s="45"/>
    </row>
    <row r="24" spans="1:14" s="10" customFormat="1" ht="13.5" thickBot="1" x14ac:dyDescent="0.25">
      <c r="B24" s="23" t="s">
        <v>16</v>
      </c>
      <c r="C24" s="86" t="s">
        <v>17</v>
      </c>
    </row>
    <row r="25" spans="1:14" s="10" customFormat="1" ht="13.5" thickBot="1" x14ac:dyDescent="0.25">
      <c r="B25" s="24" t="s">
        <v>61</v>
      </c>
      <c r="C25" s="87">
        <v>500</v>
      </c>
    </row>
    <row r="26" spans="1:14" s="10" customFormat="1" ht="13.5" thickBot="1" x14ac:dyDescent="0.25">
      <c r="B26" s="24" t="s">
        <v>62</v>
      </c>
      <c r="C26" s="87">
        <v>62</v>
      </c>
    </row>
    <row r="27" spans="1:14" s="10" customFormat="1" x14ac:dyDescent="0.2">
      <c r="B27" s="38" t="s">
        <v>38</v>
      </c>
      <c r="C27" s="87">
        <v>306</v>
      </c>
      <c r="D27" s="49"/>
    </row>
    <row r="28" spans="1:14" s="10" customFormat="1" x14ac:dyDescent="0.2">
      <c r="B28" s="38" t="s">
        <v>80</v>
      </c>
      <c r="C28" s="87">
        <v>34</v>
      </c>
      <c r="D28" s="49"/>
    </row>
    <row r="29" spans="1:14" x14ac:dyDescent="0.2">
      <c r="A29" s="10"/>
      <c r="B29" s="10"/>
      <c r="C29" s="12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4" x14ac:dyDescent="0.2">
      <c r="A30" s="10"/>
      <c r="B30" s="1" t="s">
        <v>37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4" ht="13.5" thickBot="1" x14ac:dyDescent="0.25">
      <c r="A31" s="10"/>
      <c r="B31" s="16" t="s">
        <v>15</v>
      </c>
      <c r="C31" s="88" t="s">
        <v>10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4" ht="13.5" thickBot="1" x14ac:dyDescent="0.25">
      <c r="A32" s="10"/>
      <c r="B32" s="18" t="s">
        <v>36</v>
      </c>
      <c r="C32" s="91">
        <v>2490.4</v>
      </c>
      <c r="D32" s="10"/>
      <c r="E32" s="62"/>
      <c r="F32" s="10"/>
      <c r="G32" s="10"/>
      <c r="H32" s="10"/>
      <c r="I32" s="10"/>
      <c r="J32" s="10"/>
      <c r="K32" s="10"/>
      <c r="L32" s="10"/>
      <c r="M32" s="10"/>
    </row>
    <row r="33" spans="1:13" ht="13.5" thickBot="1" x14ac:dyDescent="0.25">
      <c r="A33" s="10"/>
      <c r="B33" s="18" t="s">
        <v>76</v>
      </c>
      <c r="C33" s="91">
        <v>200</v>
      </c>
      <c r="D33" s="10"/>
      <c r="E33" s="62"/>
      <c r="F33" s="10"/>
      <c r="G33" s="10"/>
      <c r="H33" s="10"/>
      <c r="I33" s="10"/>
      <c r="J33" s="10"/>
      <c r="K33" s="10"/>
      <c r="L33" s="10"/>
      <c r="M33" s="10"/>
    </row>
    <row r="34" spans="1:13" ht="13.5" thickBot="1" x14ac:dyDescent="0.25">
      <c r="A34" s="10"/>
      <c r="B34" s="18" t="s">
        <v>55</v>
      </c>
      <c r="C34" s="91">
        <v>1507</v>
      </c>
      <c r="D34" s="10"/>
      <c r="E34" s="62"/>
      <c r="F34" s="10"/>
      <c r="G34" s="10"/>
      <c r="H34" s="10"/>
      <c r="I34" s="10"/>
      <c r="J34" s="10"/>
      <c r="K34" s="10"/>
      <c r="L34" s="10"/>
      <c r="M34" s="10"/>
    </row>
    <row r="35" spans="1:13" ht="13.5" thickBot="1" x14ac:dyDescent="0.25">
      <c r="A35" s="10"/>
      <c r="B35" s="18" t="s">
        <v>77</v>
      </c>
      <c r="C35" s="91">
        <v>65</v>
      </c>
      <c r="D35" s="10"/>
      <c r="E35" s="62"/>
      <c r="F35" s="10"/>
      <c r="G35" s="10"/>
      <c r="H35" s="10"/>
      <c r="I35" s="10"/>
      <c r="J35" s="10"/>
      <c r="K35" s="10"/>
      <c r="L35" s="10"/>
      <c r="M35" s="10"/>
    </row>
    <row r="36" spans="1:13" ht="13.5" thickBot="1" x14ac:dyDescent="0.25">
      <c r="A36" s="10"/>
      <c r="B36" s="19" t="s">
        <v>25</v>
      </c>
      <c r="C36" s="92">
        <f>SUM(C32:C35)</f>
        <v>4262.3999999999996</v>
      </c>
      <c r="D36" s="10"/>
      <c r="E36" s="62"/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10"/>
      <c r="B37" s="37" t="s">
        <v>39</v>
      </c>
      <c r="C37" s="93">
        <f>C36*C25</f>
        <v>2131200</v>
      </c>
      <c r="D37" s="44"/>
      <c r="E37" s="53"/>
      <c r="F37" s="53"/>
      <c r="G37" s="10"/>
      <c r="H37" s="10"/>
      <c r="I37" s="10"/>
      <c r="J37" s="10"/>
      <c r="K37" s="10"/>
      <c r="L37" s="10"/>
      <c r="M37" s="10"/>
    </row>
    <row r="38" spans="1:13" x14ac:dyDescent="0.2">
      <c r="A38" s="39"/>
      <c r="B38" s="40"/>
      <c r="C38" s="41"/>
      <c r="D38" s="47"/>
      <c r="E38" s="10"/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10"/>
      <c r="B39" s="1" t="s">
        <v>59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3" ht="13.5" thickBot="1" x14ac:dyDescent="0.25">
      <c r="A40" s="10"/>
      <c r="B40" s="16" t="s">
        <v>15</v>
      </c>
      <c r="C40" s="88" t="s">
        <v>10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3" ht="13.5" thickBot="1" x14ac:dyDescent="0.25">
      <c r="A41" s="10"/>
      <c r="B41" s="18" t="s">
        <v>36</v>
      </c>
      <c r="C41" s="91">
        <v>1460.4</v>
      </c>
      <c r="D41" s="10"/>
      <c r="E41" s="62"/>
      <c r="F41" s="10"/>
      <c r="G41" s="10"/>
      <c r="H41" s="10"/>
      <c r="I41" s="10"/>
      <c r="J41" s="10"/>
      <c r="K41" s="10"/>
      <c r="L41" s="10"/>
      <c r="M41" s="10"/>
    </row>
    <row r="42" spans="1:13" ht="13.5" thickBot="1" x14ac:dyDescent="0.25">
      <c r="A42" s="10"/>
      <c r="B42" s="18" t="s">
        <v>76</v>
      </c>
      <c r="C42" s="91">
        <v>0</v>
      </c>
      <c r="D42" s="10"/>
      <c r="E42" s="62"/>
      <c r="F42" s="10"/>
      <c r="G42" s="10"/>
      <c r="H42" s="10"/>
      <c r="I42" s="10"/>
      <c r="J42" s="10"/>
      <c r="K42" s="10"/>
      <c r="L42" s="10"/>
      <c r="M42" s="10"/>
    </row>
    <row r="43" spans="1:13" ht="13.5" thickBot="1" x14ac:dyDescent="0.25">
      <c r="A43" s="10"/>
      <c r="B43" s="18" t="s">
        <v>55</v>
      </c>
      <c r="C43" s="91">
        <v>1287</v>
      </c>
      <c r="D43" s="10"/>
      <c r="E43" s="62"/>
      <c r="F43" s="10"/>
      <c r="G43" s="10"/>
      <c r="H43" s="10"/>
      <c r="I43" s="10"/>
      <c r="J43" s="10"/>
      <c r="K43" s="10"/>
      <c r="L43" s="10"/>
      <c r="M43" s="10"/>
    </row>
    <row r="44" spans="1:13" ht="13.5" thickBot="1" x14ac:dyDescent="0.25">
      <c r="A44" s="10"/>
      <c r="B44" s="18" t="s">
        <v>77</v>
      </c>
      <c r="C44" s="91">
        <v>65</v>
      </c>
      <c r="D44" s="10"/>
      <c r="E44" s="62"/>
      <c r="F44" s="10"/>
      <c r="G44" s="10"/>
      <c r="H44" s="10"/>
      <c r="I44" s="10"/>
      <c r="J44" s="10"/>
      <c r="K44" s="10"/>
      <c r="L44" s="10"/>
      <c r="M44" s="10"/>
    </row>
    <row r="45" spans="1:13" ht="13.5" thickBot="1" x14ac:dyDescent="0.25">
      <c r="A45" s="10"/>
      <c r="B45" s="19" t="s">
        <v>25</v>
      </c>
      <c r="C45" s="92">
        <f>SUM(C41:C44)</f>
        <v>2812.4</v>
      </c>
      <c r="D45" s="10"/>
      <c r="E45" s="62"/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10"/>
      <c r="B46" s="37" t="s">
        <v>39</v>
      </c>
      <c r="C46" s="93">
        <f>C45*C26</f>
        <v>174368.80000000002</v>
      </c>
      <c r="D46" s="44"/>
      <c r="E46" s="53"/>
      <c r="F46" s="53"/>
      <c r="G46" s="10"/>
      <c r="H46" s="10"/>
      <c r="I46" s="10"/>
      <c r="J46" s="10"/>
      <c r="K46" s="10"/>
      <c r="L46" s="10"/>
      <c r="M46" s="10"/>
    </row>
    <row r="47" spans="1:13" x14ac:dyDescent="0.2">
      <c r="A47" s="39"/>
      <c r="B47" s="40"/>
      <c r="C47" s="41"/>
      <c r="D47" s="47"/>
      <c r="E47" s="10"/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10"/>
      <c r="B48" s="1" t="s">
        <v>58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3" ht="13.5" thickBot="1" x14ac:dyDescent="0.25">
      <c r="A49" s="10"/>
      <c r="B49" s="16" t="s">
        <v>15</v>
      </c>
      <c r="C49" s="88" t="s">
        <v>10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3" ht="13.5" thickBot="1" x14ac:dyDescent="0.25">
      <c r="A50" s="10"/>
      <c r="B50" s="18" t="s">
        <v>36</v>
      </c>
      <c r="C50" s="91">
        <v>9604.2857142857138</v>
      </c>
      <c r="D50" s="10"/>
      <c r="E50" s="62"/>
      <c r="F50" s="10"/>
      <c r="G50" s="10"/>
      <c r="H50" s="10"/>
      <c r="I50" s="10"/>
      <c r="J50" s="10"/>
      <c r="K50" s="10"/>
      <c r="L50" s="10"/>
      <c r="M50" s="10"/>
    </row>
    <row r="51" spans="1:13" ht="13.5" thickBot="1" x14ac:dyDescent="0.25">
      <c r="A51" s="10"/>
      <c r="B51" s="18" t="s">
        <v>76</v>
      </c>
      <c r="C51" s="91">
        <v>523</v>
      </c>
      <c r="D51" s="10"/>
      <c r="E51" s="62"/>
      <c r="F51" s="10"/>
      <c r="G51" s="10"/>
      <c r="H51" s="10"/>
      <c r="I51" s="10"/>
      <c r="J51" s="10"/>
      <c r="K51" s="10"/>
      <c r="L51" s="10"/>
      <c r="M51" s="10"/>
    </row>
    <row r="52" spans="1:13" ht="13.5" thickBot="1" x14ac:dyDescent="0.25">
      <c r="A52" s="10"/>
      <c r="B52" s="18" t="s">
        <v>55</v>
      </c>
      <c r="C52" s="91">
        <v>929</v>
      </c>
      <c r="D52" s="44"/>
      <c r="E52" s="62"/>
      <c r="F52" s="10"/>
      <c r="G52" s="10"/>
      <c r="H52" s="10"/>
      <c r="I52" s="10"/>
      <c r="J52" s="10"/>
      <c r="K52" s="10"/>
      <c r="L52" s="10"/>
      <c r="M52" s="10"/>
    </row>
    <row r="53" spans="1:13" ht="13.5" thickBot="1" x14ac:dyDescent="0.25">
      <c r="A53" s="10"/>
      <c r="B53" s="19" t="s">
        <v>25</v>
      </c>
      <c r="C53" s="92">
        <f>SUM(C50:C52)</f>
        <v>11056.285714285714</v>
      </c>
      <c r="D53" s="10"/>
      <c r="E53" s="62"/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10"/>
      <c r="B54" s="37"/>
      <c r="C54" s="93">
        <f>C53*C27</f>
        <v>3383223.4285714286</v>
      </c>
      <c r="D54" s="44"/>
      <c r="E54" s="62"/>
      <c r="F54" s="53"/>
      <c r="G54" s="10"/>
      <c r="H54" s="10"/>
      <c r="I54" s="10"/>
      <c r="J54" s="10"/>
      <c r="K54" s="10"/>
      <c r="L54" s="10"/>
      <c r="M54" s="10"/>
    </row>
    <row r="55" spans="1:13" x14ac:dyDescent="0.2">
      <c r="A55" s="39"/>
      <c r="B55" s="40"/>
      <c r="C55" s="41"/>
      <c r="D55" s="47"/>
      <c r="E55" s="10"/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10"/>
      <c r="B56" s="1" t="s">
        <v>60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 ht="13.5" thickBot="1" x14ac:dyDescent="0.25">
      <c r="A57" s="10"/>
      <c r="B57" s="16" t="s">
        <v>15</v>
      </c>
      <c r="C57" s="88" t="s">
        <v>10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3.5" thickBot="1" x14ac:dyDescent="0.25">
      <c r="A58" s="10"/>
      <c r="B58" s="18" t="s">
        <v>36</v>
      </c>
      <c r="C58" s="91">
        <v>520.41428571428571</v>
      </c>
      <c r="D58" s="10"/>
      <c r="E58" s="62"/>
      <c r="F58" s="10"/>
      <c r="G58" s="10"/>
      <c r="H58" s="10"/>
      <c r="I58" s="10"/>
      <c r="J58" s="10"/>
      <c r="K58" s="10"/>
      <c r="L58" s="10"/>
      <c r="M58" s="10"/>
    </row>
    <row r="59" spans="1:13" ht="13.5" thickBot="1" x14ac:dyDescent="0.25">
      <c r="A59" s="10"/>
      <c r="B59" s="18" t="s">
        <v>76</v>
      </c>
      <c r="C59" s="91">
        <v>0</v>
      </c>
      <c r="D59" s="10"/>
      <c r="E59" s="62"/>
      <c r="F59" s="10"/>
      <c r="G59" s="10"/>
      <c r="H59" s="10"/>
      <c r="I59" s="10"/>
      <c r="J59" s="10"/>
      <c r="K59" s="10"/>
      <c r="L59" s="10"/>
      <c r="M59" s="10"/>
    </row>
    <row r="60" spans="1:13" ht="13.5" thickBot="1" x14ac:dyDescent="0.25">
      <c r="A60" s="10"/>
      <c r="B60" s="18" t="s">
        <v>55</v>
      </c>
      <c r="C60" s="91">
        <v>395</v>
      </c>
      <c r="D60" s="44"/>
      <c r="E60" s="62"/>
      <c r="F60" s="10"/>
      <c r="G60" s="10"/>
      <c r="H60" s="10"/>
      <c r="I60" s="10"/>
      <c r="J60" s="10"/>
      <c r="K60" s="10"/>
      <c r="L60" s="10"/>
      <c r="M60" s="10"/>
    </row>
    <row r="61" spans="1:13" ht="13.5" thickBot="1" x14ac:dyDescent="0.25">
      <c r="A61" s="10"/>
      <c r="B61" s="19" t="s">
        <v>25</v>
      </c>
      <c r="C61" s="92">
        <f>SUM(C58:C60)</f>
        <v>915.41428571428571</v>
      </c>
      <c r="D61" s="10"/>
      <c r="E61" s="62"/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10"/>
      <c r="B62" s="37"/>
      <c r="C62" s="93">
        <f>C61*C28</f>
        <v>31124.085714285713</v>
      </c>
      <c r="D62" s="44"/>
      <c r="E62" s="62"/>
      <c r="F62" s="53"/>
      <c r="G62" s="10"/>
      <c r="H62" s="10"/>
      <c r="I62" s="10"/>
      <c r="J62" s="10"/>
      <c r="K62" s="10"/>
      <c r="L62" s="10"/>
      <c r="M62" s="10"/>
    </row>
    <row r="63" spans="1:13" x14ac:dyDescent="0.2">
      <c r="A63" s="39"/>
      <c r="B63" s="40"/>
      <c r="C63" s="41"/>
      <c r="D63" s="47"/>
      <c r="E63" s="10"/>
      <c r="F63" s="10"/>
      <c r="G63" s="10"/>
      <c r="H63" s="10"/>
      <c r="I63" s="10"/>
      <c r="J63" s="10"/>
      <c r="K63" s="10"/>
      <c r="L63" s="10"/>
      <c r="M63" s="10"/>
    </row>
    <row r="64" spans="1:13" ht="13.5" thickBot="1" x14ac:dyDescent="0.25">
      <c r="A64" s="10"/>
      <c r="B64" s="20" t="s">
        <v>72</v>
      </c>
      <c r="C64" s="81">
        <f>C46+C37</f>
        <v>2305568.7999999998</v>
      </c>
      <c r="D64" s="10"/>
      <c r="E64" s="51"/>
      <c r="F64" s="51"/>
      <c r="G64" s="10"/>
      <c r="H64" s="10"/>
      <c r="I64" s="10"/>
      <c r="J64" s="10"/>
      <c r="K64" s="10"/>
      <c r="L64" s="10"/>
      <c r="M64" s="10"/>
    </row>
    <row r="65" spans="1:15" ht="13.5" thickBot="1" x14ac:dyDescent="0.25">
      <c r="A65" s="10"/>
      <c r="B65" s="58" t="s">
        <v>42</v>
      </c>
      <c r="C65" s="94">
        <f>C62+C54</f>
        <v>3414347.5142857144</v>
      </c>
      <c r="D65" s="10"/>
      <c r="E65" s="51"/>
      <c r="F65" s="51"/>
      <c r="G65" s="10"/>
      <c r="H65" s="10"/>
      <c r="I65" s="10"/>
      <c r="J65" s="10"/>
      <c r="K65" s="10"/>
      <c r="L65" s="10"/>
      <c r="M65" s="10"/>
    </row>
    <row r="66" spans="1:15" x14ac:dyDescent="0.2">
      <c r="A66" s="10"/>
      <c r="B66" s="21" t="s">
        <v>26</v>
      </c>
      <c r="C66" s="95">
        <f>C62+C54+C46+C37</f>
        <v>5719916.3142857142</v>
      </c>
      <c r="D66" s="45"/>
      <c r="E66" s="44"/>
      <c r="F66" s="10"/>
      <c r="G66" s="10"/>
      <c r="H66" s="10"/>
      <c r="I66" s="10"/>
      <c r="J66" s="10"/>
      <c r="K66" s="10"/>
      <c r="L66" s="10"/>
      <c r="M66" s="10"/>
    </row>
    <row r="67" spans="1:15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5" s="10" customFormat="1" ht="16.5" customHeight="1" x14ac:dyDescent="0.2">
      <c r="B68" s="29" t="s">
        <v>2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</row>
    <row r="69" spans="1:15" s="10" customFormat="1" x14ac:dyDescent="0.2">
      <c r="B69" s="10" t="s">
        <v>27</v>
      </c>
    </row>
    <row r="70" spans="1:15" x14ac:dyDescent="0.2"/>
    <row r="71" spans="1:15" s="10" customFormat="1" ht="15" x14ac:dyDescent="0.2">
      <c r="B71" s="29" t="s">
        <v>33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</row>
    <row r="72" spans="1:15" s="10" customFormat="1" x14ac:dyDescent="0.2">
      <c r="B72" s="1"/>
    </row>
    <row r="73" spans="1:15" ht="13.5" thickBot="1" x14ac:dyDescent="0.25">
      <c r="A73" s="10"/>
      <c r="B73" s="16" t="s">
        <v>19</v>
      </c>
      <c r="C73" s="22">
        <v>2021</v>
      </c>
      <c r="D73" s="22">
        <v>2022</v>
      </c>
      <c r="E73" s="22">
        <v>2023</v>
      </c>
      <c r="F73" s="22">
        <v>2024</v>
      </c>
      <c r="G73" s="22">
        <v>2025</v>
      </c>
      <c r="H73" s="17" t="s">
        <v>18</v>
      </c>
      <c r="I73" s="10"/>
      <c r="J73" s="10"/>
      <c r="K73" s="10"/>
      <c r="L73" s="10"/>
      <c r="M73" s="10"/>
    </row>
    <row r="74" spans="1:15" x14ac:dyDescent="0.2">
      <c r="A74" s="10"/>
      <c r="B74" s="89" t="s">
        <v>20</v>
      </c>
      <c r="C74" s="90">
        <f>D10</f>
        <v>2859958.1571428571</v>
      </c>
      <c r="D74" s="90">
        <f>E10</f>
        <v>2859958.1571428571</v>
      </c>
      <c r="E74" s="90">
        <f>F10</f>
        <v>0</v>
      </c>
      <c r="F74" s="90">
        <f>G10</f>
        <v>0</v>
      </c>
      <c r="G74" s="90">
        <f>H10</f>
        <v>0</v>
      </c>
      <c r="H74" s="90">
        <f>SUM(C74:G74)</f>
        <v>5719916.3142857142</v>
      </c>
      <c r="I74" s="10"/>
      <c r="K74" s="10"/>
      <c r="L74" s="10"/>
      <c r="M74" s="10"/>
    </row>
    <row r="75" spans="1:15" s="43" customFormat="1" ht="13.5" thickBot="1" x14ac:dyDescent="0.25">
      <c r="A75" s="39"/>
      <c r="B75" s="39"/>
      <c r="C75" s="39"/>
      <c r="D75" s="39"/>
      <c r="E75" s="42"/>
      <c r="F75" s="39"/>
      <c r="G75" s="39"/>
      <c r="H75" s="39"/>
      <c r="I75" s="47"/>
      <c r="J75" s="47"/>
      <c r="K75" s="47"/>
      <c r="L75" s="47"/>
      <c r="M75" s="47"/>
      <c r="N75" s="47"/>
      <c r="O75" s="47"/>
    </row>
    <row r="76" spans="1:15" ht="13.5" thickBot="1" x14ac:dyDescent="0.25">
      <c r="A76" s="10"/>
      <c r="B76" s="16" t="s">
        <v>9</v>
      </c>
      <c r="C76" s="17" t="s">
        <v>10</v>
      </c>
      <c r="D76" s="17" t="s">
        <v>11</v>
      </c>
      <c r="E76" s="10"/>
      <c r="F76" s="10"/>
      <c r="G76" s="10"/>
      <c r="H76" s="10"/>
      <c r="I76" s="10"/>
      <c r="J76" s="10"/>
    </row>
    <row r="77" spans="1:15" ht="13.5" thickBot="1" x14ac:dyDescent="0.25">
      <c r="A77" s="10"/>
      <c r="B77" s="18" t="s">
        <v>3</v>
      </c>
      <c r="C77" s="81">
        <v>0</v>
      </c>
      <c r="D77" s="81">
        <v>0</v>
      </c>
      <c r="E77" s="10"/>
      <c r="F77" s="10"/>
      <c r="G77" s="10"/>
      <c r="H77" s="10"/>
      <c r="I77" s="10"/>
      <c r="J77" s="10"/>
    </row>
    <row r="78" spans="1:15" ht="13.5" thickBot="1" x14ac:dyDescent="0.25">
      <c r="B78" s="18" t="s">
        <v>13</v>
      </c>
      <c r="C78" s="81">
        <v>0</v>
      </c>
      <c r="D78" s="81">
        <v>0</v>
      </c>
    </row>
    <row r="79" spans="1:15" ht="13.5" thickBot="1" x14ac:dyDescent="0.25">
      <c r="B79" s="20" t="s">
        <v>41</v>
      </c>
      <c r="C79" s="82">
        <v>0</v>
      </c>
      <c r="D79" s="81">
        <v>0</v>
      </c>
      <c r="E79" s="46"/>
    </row>
    <row r="80" spans="1:15" x14ac:dyDescent="0.2">
      <c r="B80" s="20" t="s">
        <v>43</v>
      </c>
      <c r="C80" s="82">
        <f>NPV(C18,D10:M10)</f>
        <v>5492333.2574229529</v>
      </c>
      <c r="D80" s="82">
        <v>0</v>
      </c>
    </row>
    <row r="81" spans="2:4" ht="13.5" thickBot="1" x14ac:dyDescent="0.25">
      <c r="B81" s="30" t="s">
        <v>14</v>
      </c>
      <c r="C81" s="83"/>
      <c r="D81" s="83">
        <f>SUM(D77:D80)-SUM(C77:C80)</f>
        <v>-5492333.2574229529</v>
      </c>
    </row>
    <row r="82" spans="2:4" x14ac:dyDescent="0.2"/>
    <row r="83" spans="2:4" hidden="1" x14ac:dyDescent="0.2">
      <c r="C83" s="36"/>
    </row>
  </sheetData>
  <mergeCells count="1">
    <mergeCell ref="D6:M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98"/>
  <sheetViews>
    <sheetView showGridLines="0" zoomScale="80" zoomScaleNormal="80" workbookViewId="0"/>
  </sheetViews>
  <sheetFormatPr defaultColWidth="0" defaultRowHeight="12.75" zeroHeight="1" x14ac:dyDescent="0.2"/>
  <cols>
    <col min="1" max="1" width="4.5" style="10" customWidth="1"/>
    <col min="2" max="2" width="53.75" style="10" customWidth="1"/>
    <col min="3" max="3" width="34.375" style="10" customWidth="1"/>
    <col min="4" max="13" width="15.875" style="10" customWidth="1"/>
    <col min="14" max="14" width="4.75" style="10" customWidth="1"/>
    <col min="15" max="15" width="0" style="10" hidden="1" customWidth="1"/>
    <col min="16" max="16384" width="9" style="10" hidden="1"/>
  </cols>
  <sheetData>
    <row r="1" spans="2:15" x14ac:dyDescent="0.2"/>
    <row r="2" spans="2:15" ht="15" customHeight="1" x14ac:dyDescent="0.2">
      <c r="B2" s="5" t="s">
        <v>22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2:15" customFormat="1" x14ac:dyDescent="0.2"/>
    <row r="4" spans="2:15" ht="16.5" customHeight="1" x14ac:dyDescent="0.2">
      <c r="B4" s="29" t="s">
        <v>35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2:15" x14ac:dyDescent="0.2"/>
    <row r="6" spans="2:15" x14ac:dyDescent="0.2">
      <c r="D6" s="104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1"/>
    </row>
    <row r="7" spans="2:15" x14ac:dyDescent="0.2">
      <c r="C7" s="8"/>
      <c r="D7" s="96" t="s">
        <v>44</v>
      </c>
      <c r="E7" s="96" t="s">
        <v>45</v>
      </c>
      <c r="F7" s="96" t="s">
        <v>46</v>
      </c>
      <c r="G7" s="96" t="s">
        <v>47</v>
      </c>
      <c r="H7" s="96" t="s">
        <v>48</v>
      </c>
      <c r="I7" s="96" t="s">
        <v>49</v>
      </c>
      <c r="J7" s="96" t="s">
        <v>50</v>
      </c>
      <c r="K7" s="96" t="s">
        <v>51</v>
      </c>
      <c r="L7" s="96" t="s">
        <v>52</v>
      </c>
      <c r="M7" s="96" t="s">
        <v>53</v>
      </c>
      <c r="N7" s="11"/>
      <c r="O7" s="13"/>
    </row>
    <row r="8" spans="2:15" x14ac:dyDescent="0.2">
      <c r="B8" s="9" t="s">
        <v>1</v>
      </c>
      <c r="C8" s="11" t="s">
        <v>74</v>
      </c>
      <c r="D8" s="97">
        <f>$C$71/2</f>
        <v>4257173.7571428567</v>
      </c>
      <c r="E8" s="97">
        <f>$C$71/2</f>
        <v>4257173.7571428567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48"/>
    </row>
    <row r="9" spans="2:15" x14ac:dyDescent="0.2">
      <c r="B9" s="9"/>
      <c r="C9" s="11" t="s">
        <v>75</v>
      </c>
      <c r="D9" s="97">
        <f>$C$70/2</f>
        <v>5367784.4000000004</v>
      </c>
      <c r="E9" s="97">
        <f>$C$70/2</f>
        <v>5367784.4000000004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54"/>
    </row>
    <row r="10" spans="2:15" x14ac:dyDescent="0.2">
      <c r="B10" s="9"/>
      <c r="C10" s="67" t="s">
        <v>73</v>
      </c>
      <c r="D10" s="98">
        <f>$C$80*D20</f>
        <v>0</v>
      </c>
      <c r="E10" s="98">
        <f t="shared" ref="E10:M10" si="0">$C$80*E20</f>
        <v>129888</v>
      </c>
      <c r="F10" s="98">
        <f t="shared" si="0"/>
        <v>432960</v>
      </c>
      <c r="G10" s="98">
        <f t="shared" si="0"/>
        <v>432960</v>
      </c>
      <c r="H10" s="98">
        <f t="shared" si="0"/>
        <v>432960</v>
      </c>
      <c r="I10" s="98">
        <f t="shared" si="0"/>
        <v>432960</v>
      </c>
      <c r="J10" s="98">
        <f t="shared" si="0"/>
        <v>432960</v>
      </c>
      <c r="K10" s="98">
        <f t="shared" si="0"/>
        <v>432960</v>
      </c>
      <c r="L10" s="98">
        <f t="shared" si="0"/>
        <v>432960</v>
      </c>
      <c r="M10" s="98">
        <f t="shared" si="0"/>
        <v>432960</v>
      </c>
      <c r="N10" s="54"/>
    </row>
    <row r="11" spans="2:15" x14ac:dyDescent="0.2">
      <c r="B11" s="9"/>
      <c r="C11" s="8" t="s">
        <v>18</v>
      </c>
      <c r="D11" s="101">
        <f>SUM(D8:D10)</f>
        <v>9624958.1571428571</v>
      </c>
      <c r="E11" s="101">
        <f t="shared" ref="E11:M11" si="1">SUM(E8:E10)</f>
        <v>9754846.1571428571</v>
      </c>
      <c r="F11" s="101">
        <f t="shared" si="1"/>
        <v>432960</v>
      </c>
      <c r="G11" s="101">
        <f t="shared" si="1"/>
        <v>432960</v>
      </c>
      <c r="H11" s="101">
        <f t="shared" si="1"/>
        <v>432960</v>
      </c>
      <c r="I11" s="101">
        <f t="shared" si="1"/>
        <v>432960</v>
      </c>
      <c r="J11" s="101">
        <f t="shared" si="1"/>
        <v>432960</v>
      </c>
      <c r="K11" s="101">
        <f t="shared" si="1"/>
        <v>432960</v>
      </c>
      <c r="L11" s="101">
        <f t="shared" si="1"/>
        <v>432960</v>
      </c>
      <c r="M11" s="101">
        <f t="shared" si="1"/>
        <v>432960</v>
      </c>
      <c r="N11" s="11"/>
    </row>
    <row r="12" spans="2:15" x14ac:dyDescent="0.2">
      <c r="B12" s="14"/>
      <c r="C12" s="11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1"/>
    </row>
    <row r="13" spans="2:15" x14ac:dyDescent="0.2">
      <c r="B13" s="9" t="s">
        <v>2</v>
      </c>
      <c r="C13" s="11"/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99">
        <v>0</v>
      </c>
      <c r="M13" s="99">
        <v>0</v>
      </c>
      <c r="N13" s="11"/>
    </row>
    <row r="14" spans="2:15" x14ac:dyDescent="0.2">
      <c r="B14" s="11"/>
      <c r="C14" s="67"/>
      <c r="D14" s="100">
        <v>0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</v>
      </c>
      <c r="M14" s="100">
        <v>0</v>
      </c>
    </row>
    <row r="15" spans="2:15" x14ac:dyDescent="0.2">
      <c r="C15" s="76" t="s">
        <v>18</v>
      </c>
      <c r="D15" s="102">
        <f>SUM(D13:D14)</f>
        <v>0</v>
      </c>
      <c r="E15" s="102">
        <f t="shared" ref="E15:M15" si="2">SUM(E13:E14)</f>
        <v>0</v>
      </c>
      <c r="F15" s="102">
        <f t="shared" si="2"/>
        <v>0</v>
      </c>
      <c r="G15" s="102">
        <f t="shared" si="2"/>
        <v>0</v>
      </c>
      <c r="H15" s="102">
        <f t="shared" si="2"/>
        <v>0</v>
      </c>
      <c r="I15" s="102">
        <f t="shared" si="2"/>
        <v>0</v>
      </c>
      <c r="J15" s="102">
        <f t="shared" si="2"/>
        <v>0</v>
      </c>
      <c r="K15" s="102">
        <f t="shared" si="2"/>
        <v>0</v>
      </c>
      <c r="L15" s="102">
        <f t="shared" si="2"/>
        <v>0</v>
      </c>
      <c r="M15" s="102">
        <f t="shared" si="2"/>
        <v>0</v>
      </c>
    </row>
    <row r="16" spans="2:15" x14ac:dyDescent="0.2"/>
    <row r="17" spans="1:13" x14ac:dyDescent="0.2"/>
    <row r="18" spans="1:13" x14ac:dyDescent="0.2">
      <c r="B18" s="33" t="s">
        <v>5</v>
      </c>
    </row>
    <row r="19" spans="1:13" x14ac:dyDescent="0.2">
      <c r="B19" s="34" t="s">
        <v>7</v>
      </c>
      <c r="C19" s="78">
        <v>2.75E-2</v>
      </c>
    </row>
    <row r="20" spans="1:13" x14ac:dyDescent="0.2">
      <c r="B20" s="34" t="s">
        <v>6</v>
      </c>
      <c r="D20" s="79">
        <v>0</v>
      </c>
      <c r="E20" s="79">
        <v>0.3</v>
      </c>
      <c r="F20" s="79">
        <v>1</v>
      </c>
      <c r="G20" s="79">
        <v>1</v>
      </c>
      <c r="H20" s="79">
        <v>1</v>
      </c>
      <c r="I20" s="79">
        <v>1</v>
      </c>
      <c r="J20" s="79">
        <v>1</v>
      </c>
      <c r="K20" s="79">
        <v>1</v>
      </c>
      <c r="L20" s="79">
        <v>1</v>
      </c>
      <c r="M20" s="79">
        <f>L20</f>
        <v>1</v>
      </c>
    </row>
    <row r="21" spans="1:13" x14ac:dyDescent="0.2">
      <c r="C21" s="12"/>
    </row>
    <row r="22" spans="1:13" ht="16.5" customHeight="1" x14ac:dyDescent="0.2">
      <c r="B22" s="29" t="s">
        <v>31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1:13" customFormat="1" x14ac:dyDescent="0.2">
      <c r="A23" s="10"/>
      <c r="B23" s="10"/>
      <c r="C23" s="12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B24" s="1" t="s">
        <v>29</v>
      </c>
      <c r="E24" s="45"/>
      <c r="F24" s="45"/>
      <c r="G24" s="45"/>
    </row>
    <row r="25" spans="1:13" ht="13.5" thickBot="1" x14ac:dyDescent="0.25">
      <c r="B25" s="23" t="s">
        <v>16</v>
      </c>
      <c r="C25" s="86" t="s">
        <v>17</v>
      </c>
    </row>
    <row r="26" spans="1:13" ht="13.5" thickBot="1" x14ac:dyDescent="0.25">
      <c r="B26" s="24" t="s">
        <v>61</v>
      </c>
      <c r="C26" s="87">
        <v>500</v>
      </c>
    </row>
    <row r="27" spans="1:13" ht="13.5" thickBot="1" x14ac:dyDescent="0.25">
      <c r="B27" s="24" t="s">
        <v>62</v>
      </c>
      <c r="C27" s="87">
        <v>62</v>
      </c>
    </row>
    <row r="28" spans="1:13" x14ac:dyDescent="0.2">
      <c r="B28" s="38" t="s">
        <v>38</v>
      </c>
      <c r="C28" s="87">
        <v>306</v>
      </c>
      <c r="D28" s="49"/>
    </row>
    <row r="29" spans="1:13" x14ac:dyDescent="0.2">
      <c r="B29" s="38" t="s">
        <v>38</v>
      </c>
      <c r="C29" s="87">
        <v>34</v>
      </c>
      <c r="D29" s="49"/>
    </row>
    <row r="30" spans="1:13" customFormat="1" x14ac:dyDescent="0.2">
      <c r="A30" s="10"/>
      <c r="B30" s="10"/>
      <c r="C30" s="12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customFormat="1" x14ac:dyDescent="0.2">
      <c r="A31" s="10"/>
      <c r="B31" s="1" t="s">
        <v>37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customFormat="1" ht="13.5" thickBot="1" x14ac:dyDescent="0.25">
      <c r="A32" s="10"/>
      <c r="B32" s="16" t="s">
        <v>15</v>
      </c>
      <c r="C32" s="88" t="s">
        <v>10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customFormat="1" ht="13.5" thickBot="1" x14ac:dyDescent="0.25">
      <c r="A33" s="10"/>
      <c r="B33" s="18" t="s">
        <v>36</v>
      </c>
      <c r="C33" s="91">
        <v>2490.4</v>
      </c>
      <c r="D33" s="10"/>
      <c r="E33" s="62"/>
      <c r="F33" s="10"/>
      <c r="G33" s="10"/>
      <c r="H33" s="10"/>
      <c r="I33" s="10"/>
      <c r="J33" s="10"/>
      <c r="K33" s="10"/>
      <c r="L33" s="10"/>
      <c r="M33" s="10"/>
    </row>
    <row r="34" spans="1:13" customFormat="1" ht="13.5" thickBot="1" x14ac:dyDescent="0.25">
      <c r="A34" s="10"/>
      <c r="B34" s="18" t="s">
        <v>67</v>
      </c>
      <c r="C34" s="91">
        <v>15000</v>
      </c>
      <c r="D34" s="10"/>
      <c r="E34" s="62"/>
      <c r="F34" s="10"/>
      <c r="G34" s="10"/>
      <c r="H34" s="10"/>
      <c r="I34" s="10"/>
      <c r="J34" s="10"/>
      <c r="K34" s="10"/>
      <c r="L34" s="10"/>
      <c r="M34" s="10"/>
    </row>
    <row r="35" spans="1:13" customFormat="1" ht="13.5" thickBot="1" x14ac:dyDescent="0.25">
      <c r="A35" s="10"/>
      <c r="B35" s="18" t="s">
        <v>76</v>
      </c>
      <c r="C35" s="91">
        <v>200</v>
      </c>
      <c r="D35" s="10"/>
      <c r="E35" s="62"/>
      <c r="F35" s="10"/>
      <c r="G35" s="10"/>
      <c r="H35" s="10"/>
      <c r="I35" s="10"/>
      <c r="J35" s="10"/>
      <c r="K35" s="10"/>
      <c r="L35" s="10"/>
      <c r="M35" s="10"/>
    </row>
    <row r="36" spans="1:13" customFormat="1" ht="13.5" thickBot="1" x14ac:dyDescent="0.25">
      <c r="A36" s="10"/>
      <c r="B36" s="18" t="s">
        <v>55</v>
      </c>
      <c r="C36" s="91">
        <v>1507</v>
      </c>
      <c r="D36" s="10"/>
      <c r="E36" s="62"/>
      <c r="F36" s="10"/>
      <c r="G36" s="10"/>
      <c r="H36" s="10"/>
      <c r="I36" s="10"/>
      <c r="J36" s="10"/>
      <c r="K36" s="10"/>
      <c r="L36" s="10"/>
      <c r="M36" s="10"/>
    </row>
    <row r="37" spans="1:13" customFormat="1" ht="13.5" thickBot="1" x14ac:dyDescent="0.25">
      <c r="A37" s="10"/>
      <c r="B37" s="18" t="s">
        <v>77</v>
      </c>
      <c r="C37" s="91">
        <v>65</v>
      </c>
      <c r="D37" s="10"/>
      <c r="E37" s="62"/>
      <c r="F37" s="10"/>
      <c r="G37" s="10"/>
      <c r="H37" s="10"/>
      <c r="I37" s="10"/>
      <c r="J37" s="10"/>
      <c r="K37" s="10"/>
      <c r="L37" s="10"/>
      <c r="M37" s="10"/>
    </row>
    <row r="38" spans="1:13" customFormat="1" ht="13.5" thickBot="1" x14ac:dyDescent="0.25">
      <c r="A38" s="10"/>
      <c r="B38" s="19" t="s">
        <v>25</v>
      </c>
      <c r="C38" s="92">
        <f>SUM(C33:C37)</f>
        <v>19262.400000000001</v>
      </c>
      <c r="D38" s="10"/>
      <c r="E38" s="62"/>
      <c r="F38" s="10"/>
      <c r="G38" s="10"/>
      <c r="H38" s="10"/>
      <c r="I38" s="10"/>
      <c r="J38" s="10"/>
      <c r="K38" s="10"/>
      <c r="L38" s="10"/>
      <c r="M38" s="10"/>
    </row>
    <row r="39" spans="1:13" customFormat="1" x14ac:dyDescent="0.2">
      <c r="A39" s="10"/>
      <c r="B39" s="37" t="s">
        <v>39</v>
      </c>
      <c r="C39" s="93">
        <f>C38*C26</f>
        <v>9631200</v>
      </c>
      <c r="D39" s="10"/>
      <c r="E39" s="53"/>
      <c r="F39" s="53"/>
      <c r="G39" s="10"/>
      <c r="H39" s="10"/>
      <c r="I39" s="10"/>
      <c r="J39" s="10"/>
      <c r="K39" s="10"/>
      <c r="L39" s="10"/>
      <c r="M39" s="10"/>
    </row>
    <row r="40" spans="1:13" customFormat="1" x14ac:dyDescent="0.2">
      <c r="A40" s="39"/>
      <c r="B40" s="40"/>
      <c r="C40" s="41"/>
      <c r="D40" s="47"/>
      <c r="E40" s="10"/>
      <c r="F40" s="10"/>
      <c r="G40" s="10"/>
      <c r="H40" s="10"/>
      <c r="I40" s="10"/>
      <c r="J40" s="10"/>
      <c r="K40" s="10"/>
      <c r="L40" s="10"/>
      <c r="M40" s="10"/>
    </row>
    <row r="41" spans="1:13" customFormat="1" x14ac:dyDescent="0.2">
      <c r="A41" s="10"/>
      <c r="B41" s="1" t="s">
        <v>59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3" customFormat="1" ht="13.5" thickBot="1" x14ac:dyDescent="0.25">
      <c r="A42" s="10"/>
      <c r="B42" s="16" t="s">
        <v>15</v>
      </c>
      <c r="C42" s="88" t="s">
        <v>10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 customFormat="1" ht="13.5" thickBot="1" x14ac:dyDescent="0.25">
      <c r="A43" s="10"/>
      <c r="B43" s="18" t="s">
        <v>36</v>
      </c>
      <c r="C43" s="91">
        <v>1460.4</v>
      </c>
      <c r="D43" s="10"/>
      <c r="E43" s="62"/>
      <c r="F43" s="10"/>
      <c r="G43" s="10"/>
      <c r="H43" s="10"/>
      <c r="I43" s="10"/>
      <c r="J43" s="10"/>
      <c r="K43" s="10"/>
      <c r="L43" s="10"/>
      <c r="M43" s="10"/>
    </row>
    <row r="44" spans="1:13" customFormat="1" ht="13.5" thickBot="1" x14ac:dyDescent="0.25">
      <c r="A44" s="10"/>
      <c r="B44" s="18" t="s">
        <v>67</v>
      </c>
      <c r="C44" s="91">
        <v>15000</v>
      </c>
      <c r="D44" s="10"/>
      <c r="E44" s="62"/>
      <c r="F44" s="10"/>
      <c r="G44" s="10"/>
      <c r="H44" s="10"/>
      <c r="I44" s="10"/>
      <c r="J44" s="10"/>
      <c r="K44" s="10"/>
      <c r="L44" s="10"/>
      <c r="M44" s="10"/>
    </row>
    <row r="45" spans="1:13" customFormat="1" ht="13.5" thickBot="1" x14ac:dyDescent="0.25">
      <c r="A45" s="10"/>
      <c r="B45" s="18" t="s">
        <v>76</v>
      </c>
      <c r="C45" s="91">
        <v>0</v>
      </c>
      <c r="D45" s="10"/>
      <c r="E45" s="62"/>
      <c r="F45" s="10"/>
      <c r="G45" s="10"/>
      <c r="H45" s="10"/>
      <c r="I45" s="10"/>
      <c r="J45" s="10"/>
      <c r="K45" s="10"/>
      <c r="L45" s="10"/>
      <c r="M45" s="10"/>
    </row>
    <row r="46" spans="1:13" customFormat="1" ht="13.5" thickBot="1" x14ac:dyDescent="0.25">
      <c r="A46" s="10"/>
      <c r="B46" s="18" t="s">
        <v>55</v>
      </c>
      <c r="C46" s="91">
        <v>1287</v>
      </c>
      <c r="D46" s="10"/>
      <c r="E46" s="62"/>
      <c r="F46" s="10"/>
      <c r="G46" s="10"/>
      <c r="H46" s="10"/>
      <c r="I46" s="10"/>
      <c r="J46" s="10"/>
      <c r="K46" s="10"/>
      <c r="L46" s="10"/>
      <c r="M46" s="10"/>
    </row>
    <row r="47" spans="1:13" customFormat="1" ht="13.5" thickBot="1" x14ac:dyDescent="0.25">
      <c r="A47" s="10"/>
      <c r="B47" s="18" t="s">
        <v>77</v>
      </c>
      <c r="C47" s="91">
        <v>65</v>
      </c>
      <c r="D47" s="10"/>
      <c r="E47" s="62"/>
      <c r="F47" s="10"/>
      <c r="G47" s="10"/>
      <c r="H47" s="10"/>
      <c r="I47" s="10"/>
      <c r="J47" s="10"/>
      <c r="K47" s="10"/>
      <c r="L47" s="10"/>
      <c r="M47" s="10"/>
    </row>
    <row r="48" spans="1:13" customFormat="1" ht="13.5" thickBot="1" x14ac:dyDescent="0.25">
      <c r="A48" s="10"/>
      <c r="B48" s="19" t="s">
        <v>25</v>
      </c>
      <c r="C48" s="92">
        <f>SUM(C43:C47)</f>
        <v>17812.400000000001</v>
      </c>
      <c r="D48" s="10"/>
      <c r="E48" s="62"/>
      <c r="F48" s="10"/>
      <c r="G48" s="10"/>
      <c r="H48" s="10"/>
      <c r="I48" s="10"/>
      <c r="J48" s="10"/>
      <c r="K48" s="10"/>
      <c r="L48" s="10"/>
      <c r="M48" s="10"/>
    </row>
    <row r="49" spans="1:13" customFormat="1" x14ac:dyDescent="0.2">
      <c r="A49" s="10"/>
      <c r="B49" s="37" t="s">
        <v>39</v>
      </c>
      <c r="C49" s="93">
        <f>C48*C27</f>
        <v>1104368.8</v>
      </c>
      <c r="D49" s="44"/>
      <c r="E49" s="53"/>
      <c r="F49" s="53"/>
      <c r="G49" s="10"/>
      <c r="H49" s="10"/>
      <c r="I49" s="10"/>
      <c r="J49" s="10"/>
      <c r="K49" s="10"/>
      <c r="L49" s="10"/>
      <c r="M49" s="10"/>
    </row>
    <row r="50" spans="1:13" customFormat="1" x14ac:dyDescent="0.2">
      <c r="A50" s="39"/>
      <c r="B50" s="40"/>
      <c r="C50" s="41"/>
      <c r="D50" s="47"/>
      <c r="E50" s="10"/>
      <c r="F50" s="10"/>
      <c r="G50" s="10"/>
      <c r="H50" s="10"/>
      <c r="I50" s="10"/>
      <c r="J50" s="10"/>
      <c r="K50" s="10"/>
      <c r="L50" s="10"/>
      <c r="M50" s="10"/>
    </row>
    <row r="51" spans="1:13" customFormat="1" x14ac:dyDescent="0.2">
      <c r="A51" s="10"/>
      <c r="B51" s="1" t="s">
        <v>58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 customFormat="1" ht="13.5" thickBot="1" x14ac:dyDescent="0.25">
      <c r="A52" s="10"/>
      <c r="B52" s="16" t="s">
        <v>15</v>
      </c>
      <c r="C52" s="88" t="s">
        <v>10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13" customFormat="1" ht="13.5" thickBot="1" x14ac:dyDescent="0.25">
      <c r="A53" s="10"/>
      <c r="B53" s="18" t="s">
        <v>36</v>
      </c>
      <c r="C53" s="91">
        <v>9604.2857142857138</v>
      </c>
      <c r="D53" s="10"/>
      <c r="E53" s="62"/>
      <c r="F53" s="10"/>
      <c r="G53" s="10"/>
      <c r="H53" s="10"/>
      <c r="I53" s="10"/>
      <c r="J53" s="10"/>
      <c r="K53" s="10"/>
      <c r="L53" s="10"/>
      <c r="M53" s="10"/>
    </row>
    <row r="54" spans="1:13" customFormat="1" ht="13.5" thickBot="1" x14ac:dyDescent="0.25">
      <c r="A54" s="10"/>
      <c r="B54" s="18" t="s">
        <v>67</v>
      </c>
      <c r="C54" s="91">
        <v>15000</v>
      </c>
      <c r="D54" s="10"/>
      <c r="E54" s="62"/>
      <c r="F54" s="10"/>
      <c r="G54" s="10"/>
      <c r="H54" s="10"/>
      <c r="I54" s="10"/>
      <c r="J54" s="10"/>
      <c r="K54" s="10"/>
      <c r="L54" s="10"/>
      <c r="M54" s="10"/>
    </row>
    <row r="55" spans="1:13" customFormat="1" ht="13.5" thickBot="1" x14ac:dyDescent="0.25">
      <c r="A55" s="10"/>
      <c r="B55" s="18" t="s">
        <v>76</v>
      </c>
      <c r="C55" s="91">
        <v>523</v>
      </c>
      <c r="D55" s="10"/>
      <c r="E55" s="62"/>
      <c r="F55" s="10"/>
      <c r="G55" s="10"/>
      <c r="H55" s="10"/>
      <c r="I55" s="10"/>
      <c r="J55" s="10"/>
      <c r="K55" s="10"/>
      <c r="L55" s="10"/>
      <c r="M55" s="10"/>
    </row>
    <row r="56" spans="1:13" customFormat="1" ht="13.5" thickBot="1" x14ac:dyDescent="0.25">
      <c r="A56" s="10"/>
      <c r="B56" s="18" t="s">
        <v>55</v>
      </c>
      <c r="C56" s="91">
        <v>929</v>
      </c>
      <c r="D56" s="44"/>
      <c r="E56" s="62"/>
      <c r="F56" s="10"/>
      <c r="G56" s="10"/>
      <c r="H56" s="10"/>
      <c r="I56" s="10"/>
      <c r="J56" s="10"/>
      <c r="K56" s="10"/>
      <c r="L56" s="10"/>
      <c r="M56" s="10"/>
    </row>
    <row r="57" spans="1:13" customFormat="1" ht="13.5" thickBot="1" x14ac:dyDescent="0.25">
      <c r="A57" s="10"/>
      <c r="B57" s="19" t="s">
        <v>25</v>
      </c>
      <c r="C57" s="92">
        <f>SUM(C53:C56)</f>
        <v>26056.285714285714</v>
      </c>
      <c r="D57" s="10"/>
      <c r="E57" s="62"/>
      <c r="F57" s="10"/>
      <c r="G57" s="10"/>
      <c r="H57" s="10"/>
      <c r="I57" s="10"/>
      <c r="J57" s="10"/>
      <c r="K57" s="10"/>
      <c r="L57" s="10"/>
      <c r="M57" s="10"/>
    </row>
    <row r="58" spans="1:13" customFormat="1" x14ac:dyDescent="0.2">
      <c r="A58" s="10"/>
      <c r="B58" s="37"/>
      <c r="C58" s="93">
        <f>C57*C28</f>
        <v>7973223.4285714282</v>
      </c>
      <c r="D58" s="44"/>
      <c r="E58" s="62"/>
      <c r="F58" s="53"/>
      <c r="G58" s="10"/>
      <c r="H58" s="10"/>
      <c r="I58" s="10"/>
      <c r="J58" s="10"/>
      <c r="K58" s="10"/>
      <c r="L58" s="10"/>
      <c r="M58" s="10"/>
    </row>
    <row r="59" spans="1:13" customFormat="1" x14ac:dyDescent="0.2">
      <c r="A59" s="39"/>
      <c r="B59" s="40"/>
      <c r="C59" s="41"/>
      <c r="D59" s="47"/>
      <c r="E59" s="10"/>
      <c r="F59" s="10"/>
      <c r="G59" s="10"/>
      <c r="H59" s="10"/>
      <c r="I59" s="10"/>
      <c r="J59" s="10"/>
      <c r="K59" s="10"/>
      <c r="L59" s="10"/>
      <c r="M59" s="10"/>
    </row>
    <row r="60" spans="1:13" customFormat="1" x14ac:dyDescent="0.2">
      <c r="A60" s="10"/>
      <c r="B60" s="1" t="s">
        <v>60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1:13" customFormat="1" ht="13.5" thickBot="1" x14ac:dyDescent="0.25">
      <c r="A61" s="10"/>
      <c r="B61" s="16" t="s">
        <v>15</v>
      </c>
      <c r="C61" s="88" t="s">
        <v>10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customFormat="1" ht="13.5" thickBot="1" x14ac:dyDescent="0.25">
      <c r="A62" s="10"/>
      <c r="B62" s="18" t="s">
        <v>36</v>
      </c>
      <c r="C62" s="91">
        <v>520.41428571428571</v>
      </c>
      <c r="D62" s="10"/>
      <c r="E62" s="62"/>
      <c r="F62" s="10"/>
      <c r="G62" s="10"/>
      <c r="H62" s="10"/>
      <c r="I62" s="10"/>
      <c r="J62" s="10"/>
      <c r="K62" s="10"/>
      <c r="L62" s="10"/>
      <c r="M62" s="10"/>
    </row>
    <row r="63" spans="1:13" customFormat="1" ht="13.5" thickBot="1" x14ac:dyDescent="0.25">
      <c r="A63" s="10"/>
      <c r="B63" s="18" t="s">
        <v>67</v>
      </c>
      <c r="C63" s="91">
        <v>15000</v>
      </c>
      <c r="D63" s="10"/>
      <c r="E63" s="62"/>
      <c r="F63" s="10"/>
      <c r="G63" s="10"/>
      <c r="H63" s="10"/>
      <c r="I63" s="10"/>
      <c r="J63" s="10"/>
      <c r="K63" s="10"/>
      <c r="L63" s="10"/>
      <c r="M63" s="10"/>
    </row>
    <row r="64" spans="1:13" customFormat="1" ht="13.5" thickBot="1" x14ac:dyDescent="0.25">
      <c r="A64" s="10"/>
      <c r="B64" s="18" t="s">
        <v>76</v>
      </c>
      <c r="C64" s="91">
        <v>0</v>
      </c>
      <c r="D64" s="10"/>
      <c r="E64" s="62"/>
      <c r="F64" s="10"/>
      <c r="G64" s="10"/>
      <c r="H64" s="10"/>
      <c r="I64" s="10"/>
      <c r="J64" s="10"/>
      <c r="K64" s="10"/>
      <c r="L64" s="10"/>
      <c r="M64" s="10"/>
    </row>
    <row r="65" spans="1:13" customFormat="1" ht="13.5" thickBot="1" x14ac:dyDescent="0.25">
      <c r="A65" s="10"/>
      <c r="B65" s="18" t="s">
        <v>55</v>
      </c>
      <c r="C65" s="91">
        <v>395</v>
      </c>
      <c r="D65" s="44"/>
      <c r="E65" s="62"/>
      <c r="F65" s="10"/>
      <c r="G65" s="10"/>
      <c r="H65" s="10"/>
      <c r="I65" s="10"/>
      <c r="J65" s="10"/>
      <c r="K65" s="10"/>
      <c r="L65" s="10"/>
      <c r="M65" s="10"/>
    </row>
    <row r="66" spans="1:13" customFormat="1" ht="13.5" thickBot="1" x14ac:dyDescent="0.25">
      <c r="A66" s="10"/>
      <c r="B66" s="19" t="s">
        <v>25</v>
      </c>
      <c r="C66" s="92">
        <f>SUM(C62:C65)</f>
        <v>15915.414285714285</v>
      </c>
      <c r="D66" s="10"/>
      <c r="E66" s="62"/>
      <c r="F66" s="10"/>
      <c r="G66" s="10"/>
      <c r="H66" s="10"/>
      <c r="I66" s="10"/>
      <c r="J66" s="10"/>
      <c r="K66" s="10"/>
      <c r="L66" s="10"/>
      <c r="M66" s="10"/>
    </row>
    <row r="67" spans="1:13" customFormat="1" x14ac:dyDescent="0.2">
      <c r="A67" s="10"/>
      <c r="B67" s="37"/>
      <c r="C67" s="93">
        <f>C66*C29</f>
        <v>541124.08571428573</v>
      </c>
      <c r="D67" s="44"/>
      <c r="E67" s="62"/>
      <c r="F67" s="53"/>
      <c r="G67" s="10"/>
      <c r="H67" s="10"/>
      <c r="I67" s="10"/>
      <c r="J67" s="10"/>
      <c r="K67" s="10"/>
      <c r="L67" s="10"/>
      <c r="M67" s="10"/>
    </row>
    <row r="68" spans="1:13" customFormat="1" x14ac:dyDescent="0.2">
      <c r="A68" s="10"/>
      <c r="B68" s="40"/>
      <c r="C68" s="41"/>
      <c r="D68" s="10"/>
      <c r="E68" s="51"/>
      <c r="F68" s="51"/>
      <c r="G68" s="10"/>
      <c r="H68" s="10"/>
      <c r="I68" s="10"/>
      <c r="J68" s="10"/>
      <c r="K68" s="10"/>
      <c r="L68" s="10"/>
      <c r="M68" s="10"/>
    </row>
    <row r="69" spans="1:13" customFormat="1" x14ac:dyDescent="0.2">
      <c r="A69" s="39"/>
      <c r="B69" s="40"/>
      <c r="C69" s="41"/>
      <c r="D69" s="47"/>
      <c r="E69" s="10"/>
      <c r="F69" s="10"/>
      <c r="G69" s="10"/>
      <c r="H69" s="10"/>
      <c r="I69" s="10"/>
      <c r="J69" s="10"/>
      <c r="K69" s="10"/>
      <c r="L69" s="10"/>
      <c r="M69" s="10"/>
    </row>
    <row r="70" spans="1:13" customFormat="1" ht="13.5" thickBot="1" x14ac:dyDescent="0.25">
      <c r="A70" s="10"/>
      <c r="B70" s="20" t="s">
        <v>72</v>
      </c>
      <c r="C70" s="56">
        <f>C49+C39</f>
        <v>10735568.800000001</v>
      </c>
      <c r="D70" s="10"/>
      <c r="E70" s="51"/>
      <c r="F70" s="51"/>
      <c r="G70" s="10"/>
      <c r="H70" s="10"/>
      <c r="I70" s="10"/>
      <c r="J70" s="10"/>
      <c r="K70" s="10"/>
      <c r="L70" s="10"/>
      <c r="M70" s="10"/>
    </row>
    <row r="71" spans="1:13" customFormat="1" ht="13.5" thickBot="1" x14ac:dyDescent="0.25">
      <c r="A71" s="10"/>
      <c r="B71" s="58" t="s">
        <v>42</v>
      </c>
      <c r="C71" s="59">
        <f>C67+C58</f>
        <v>8514347.5142857134</v>
      </c>
      <c r="D71" s="10"/>
      <c r="E71" s="51"/>
      <c r="F71" s="51"/>
      <c r="G71" s="10"/>
      <c r="H71" s="10"/>
      <c r="I71" s="10"/>
      <c r="J71" s="10"/>
      <c r="K71" s="10"/>
      <c r="L71" s="10"/>
      <c r="M71" s="10"/>
    </row>
    <row r="72" spans="1:13" customFormat="1" x14ac:dyDescent="0.2">
      <c r="A72" s="10"/>
      <c r="B72" s="21" t="s">
        <v>26</v>
      </c>
      <c r="C72" s="57">
        <f>C67+C58+C49+C39</f>
        <v>19249916.314285714</v>
      </c>
      <c r="D72" s="45"/>
      <c r="E72" s="44"/>
      <c r="F72" s="10"/>
      <c r="G72" s="10"/>
      <c r="H72" s="10"/>
      <c r="I72" s="10"/>
      <c r="J72" s="10"/>
      <c r="K72" s="10"/>
      <c r="L72" s="10"/>
      <c r="M72" s="10"/>
    </row>
    <row r="73" spans="1:13" customForma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ht="16.5" customHeight="1" x14ac:dyDescent="0.2">
      <c r="B74" s="29" t="s">
        <v>68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</row>
    <row r="75" spans="1:13" x14ac:dyDescent="0.2"/>
    <row r="76" spans="1:13" customFormat="1" x14ac:dyDescent="0.2">
      <c r="A76" s="10"/>
      <c r="B76" s="1" t="s">
        <v>69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13" customFormat="1" ht="13.5" thickBot="1" x14ac:dyDescent="0.25">
      <c r="A77" s="10"/>
      <c r="B77" s="16" t="s">
        <v>15</v>
      </c>
      <c r="C77" s="88" t="s">
        <v>10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13" customFormat="1" ht="13.5" thickBot="1" x14ac:dyDescent="0.25">
      <c r="A78" s="10"/>
      <c r="B78" s="18" t="s">
        <v>78</v>
      </c>
      <c r="C78" s="91">
        <v>40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13" customFormat="1" ht="13.5" thickBot="1" x14ac:dyDescent="0.25">
      <c r="A79" s="10"/>
      <c r="B79" s="19" t="s">
        <v>70</v>
      </c>
      <c r="C79" s="92">
        <f>SUM(C78:C78)</f>
        <v>40</v>
      </c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 customFormat="1" x14ac:dyDescent="0.2">
      <c r="A80" s="10"/>
      <c r="B80" s="37" t="s">
        <v>71</v>
      </c>
      <c r="C80" s="93">
        <f>SUM(C26:C29)*C79*12</f>
        <v>432960</v>
      </c>
      <c r="D80" s="44"/>
      <c r="E80" s="53"/>
      <c r="F80" s="53"/>
      <c r="G80" s="10"/>
      <c r="H80" s="10"/>
      <c r="I80" s="10"/>
      <c r="J80" s="10"/>
      <c r="K80" s="10"/>
      <c r="L80" s="10"/>
      <c r="M80" s="10"/>
    </row>
    <row r="81" spans="1:13" x14ac:dyDescent="0.2"/>
    <row r="82" spans="1:13" x14ac:dyDescent="0.2"/>
    <row r="83" spans="1:13" ht="16.5" customHeight="1" x14ac:dyDescent="0.2">
      <c r="B83" s="29" t="s">
        <v>2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B84" s="10" t="s">
        <v>27</v>
      </c>
    </row>
    <row r="85" spans="1:13" x14ac:dyDescent="0.2"/>
    <row r="86" spans="1:13" x14ac:dyDescent="0.2"/>
    <row r="87" spans="1:13" ht="15" x14ac:dyDescent="0.2">
      <c r="B87" s="29" t="s">
        <v>18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</row>
    <row r="88" spans="1:13" x14ac:dyDescent="0.2">
      <c r="B88" s="1"/>
    </row>
    <row r="89" spans="1:13" customFormat="1" ht="13.5" thickBot="1" x14ac:dyDescent="0.25">
      <c r="A89" s="10"/>
      <c r="B89" s="16" t="s">
        <v>19</v>
      </c>
      <c r="C89" s="22">
        <v>2021</v>
      </c>
      <c r="D89" s="22">
        <v>2022</v>
      </c>
      <c r="E89" s="22">
        <v>2023</v>
      </c>
      <c r="F89" s="22">
        <v>2024</v>
      </c>
      <c r="G89" s="22">
        <v>2025</v>
      </c>
      <c r="H89" s="17" t="s">
        <v>18</v>
      </c>
      <c r="I89" s="10"/>
      <c r="J89" s="10"/>
      <c r="K89" s="10"/>
      <c r="L89" s="10"/>
      <c r="M89" s="10"/>
    </row>
    <row r="90" spans="1:13" customFormat="1" x14ac:dyDescent="0.2">
      <c r="A90" s="10"/>
      <c r="B90" s="89" t="s">
        <v>20</v>
      </c>
      <c r="C90" s="103">
        <f>D11</f>
        <v>9624958.1571428571</v>
      </c>
      <c r="D90" s="103">
        <f t="shared" ref="D90:G90" si="3">E11</f>
        <v>9754846.1571428571</v>
      </c>
      <c r="E90" s="103">
        <f t="shared" si="3"/>
        <v>432960</v>
      </c>
      <c r="F90" s="103">
        <f t="shared" si="3"/>
        <v>432960</v>
      </c>
      <c r="G90" s="103">
        <f t="shared" si="3"/>
        <v>432960</v>
      </c>
      <c r="H90" s="103">
        <f>SUM(C90:G90)</f>
        <v>20678684.314285714</v>
      </c>
      <c r="I90" s="10"/>
      <c r="K90" s="10"/>
      <c r="L90" s="10"/>
      <c r="M90" s="10"/>
    </row>
    <row r="91" spans="1:13" x14ac:dyDescent="0.2"/>
    <row r="92" spans="1:13" ht="13.5" thickBot="1" x14ac:dyDescent="0.25">
      <c r="B92" s="16" t="s">
        <v>9</v>
      </c>
      <c r="C92" s="17" t="s">
        <v>10</v>
      </c>
      <c r="D92" s="17" t="s">
        <v>11</v>
      </c>
    </row>
    <row r="93" spans="1:13" ht="13.5" thickBot="1" x14ac:dyDescent="0.25">
      <c r="B93" s="18" t="s">
        <v>3</v>
      </c>
      <c r="C93" s="81">
        <v>0</v>
      </c>
      <c r="D93" s="81">
        <v>0</v>
      </c>
    </row>
    <row r="94" spans="1:13" ht="13.5" thickBot="1" x14ac:dyDescent="0.25">
      <c r="B94" s="18" t="s">
        <v>13</v>
      </c>
      <c r="C94" s="81">
        <v>0</v>
      </c>
      <c r="D94" s="81">
        <v>0</v>
      </c>
      <c r="E94"/>
      <c r="F94"/>
      <c r="G94"/>
      <c r="H94"/>
      <c r="I94"/>
      <c r="J94"/>
    </row>
    <row r="95" spans="1:13" ht="13.5" thickBot="1" x14ac:dyDescent="0.25">
      <c r="B95" s="20" t="s">
        <v>41</v>
      </c>
      <c r="C95" s="82">
        <v>0</v>
      </c>
      <c r="D95" s="81">
        <v>0</v>
      </c>
      <c r="E95"/>
      <c r="F95"/>
      <c r="G95"/>
      <c r="H95"/>
      <c r="I95"/>
      <c r="J95"/>
    </row>
    <row r="96" spans="1:13" x14ac:dyDescent="0.2">
      <c r="B96" s="20" t="s">
        <v>43</v>
      </c>
      <c r="C96" s="82">
        <f>NPV(C19,D11:M11)</f>
        <v>21516372.771223791</v>
      </c>
      <c r="D96" s="82">
        <v>0</v>
      </c>
      <c r="E96" s="46"/>
      <c r="F96"/>
      <c r="G96" s="36"/>
      <c r="H96"/>
      <c r="I96"/>
    </row>
    <row r="97" spans="2:10" ht="13.5" thickBot="1" x14ac:dyDescent="0.25">
      <c r="B97" s="30" t="s">
        <v>14</v>
      </c>
      <c r="C97" s="83"/>
      <c r="D97" s="83">
        <f>SUM(D93:D96)-SUM(C93:C96)</f>
        <v>-21516372.771223791</v>
      </c>
      <c r="E97"/>
      <c r="F97"/>
      <c r="G97" s="36"/>
      <c r="H97"/>
      <c r="I97"/>
      <c r="J97"/>
    </row>
    <row r="98" spans="2:10" x14ac:dyDescent="0.2"/>
  </sheetData>
  <mergeCells count="1">
    <mergeCell ref="D6:M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Option 1</vt:lpstr>
      <vt:lpstr>Option 2</vt:lpstr>
      <vt:lpstr>Option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2019-11-01T02:37:20Z</dcterms:created>
  <dcterms:modified xsi:type="dcterms:W3CDTF">2020-01-29T03:05:54Z</dcterms:modified>
</cp:coreProperties>
</file>