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7AA7766E-00F2-41C5-909D-496D5A8F61F1}" xr6:coauthVersionLast="36" xr6:coauthVersionMax="36" xr10:uidLastSave="{00000000-0000-0000-0000-000000000000}"/>
  <bookViews>
    <workbookView xWindow="2985" yWindow="0" windowWidth="13455" windowHeight="16200" xr2:uid="{00000000-000D-0000-FFFF-FFFF00000000}"/>
  </bookViews>
  <sheets>
    <sheet name="Option_evaluation" sheetId="7" r:id="rId1"/>
    <sheet name="Output_Opex" sheetId="9" r:id="rId2"/>
    <sheet name="DM cost" sheetId="3" r:id="rId3"/>
    <sheet name="Tables" sheetId="8" r:id="rId4"/>
  </sheets>
  <definedNames>
    <definedName name="_xlnm.Print_Area" localSheetId="2">'DM cost'!$A$1:$I$12</definedName>
    <definedName name="_xlnm.Print_Area" localSheetId="0">Option_evaluation!$A$1:$I$60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8" l="1"/>
  <c r="D30" i="8" s="1"/>
  <c r="J39" i="7"/>
  <c r="E24" i="7"/>
  <c r="G25" i="7"/>
  <c r="H25" i="7"/>
  <c r="I25" i="7"/>
  <c r="J25" i="7"/>
  <c r="G26" i="7"/>
  <c r="H26" i="7"/>
  <c r="I26" i="7"/>
  <c r="J26" i="7"/>
  <c r="F25" i="7"/>
  <c r="F26" i="7"/>
  <c r="J25" i="8" l="1"/>
  <c r="C18" i="8"/>
  <c r="A2" i="3" l="1"/>
  <c r="I25" i="8" l="1"/>
  <c r="H25" i="8"/>
  <c r="G25" i="8"/>
  <c r="F25" i="8"/>
  <c r="D32" i="8"/>
  <c r="C17" i="8"/>
  <c r="C16" i="8"/>
  <c r="C15" i="8"/>
  <c r="C14" i="8"/>
  <c r="A53" i="7" l="1"/>
  <c r="I27" i="7" l="1"/>
  <c r="J27" i="7"/>
  <c r="E27" i="7"/>
  <c r="F27" i="7"/>
  <c r="C30" i="7" s="1"/>
  <c r="C9" i="8" s="1"/>
  <c r="G27" i="7"/>
  <c r="H27" i="7"/>
  <c r="C29" i="7" l="1"/>
  <c r="C53" i="7" s="1"/>
  <c r="C8" i="8" l="1"/>
  <c r="C7" i="8"/>
  <c r="C6" i="8"/>
  <c r="C5" i="8"/>
  <c r="B8" i="3" l="1"/>
  <c r="F9" i="3" l="1"/>
  <c r="C13" i="7" s="1"/>
  <c r="E30" i="8"/>
  <c r="J42" i="7" l="1"/>
  <c r="H43" i="7"/>
  <c r="B17" i="8" s="1"/>
  <c r="E42" i="7"/>
  <c r="B5" i="8" s="1"/>
  <c r="I43" i="7"/>
  <c r="B18" i="8" s="1"/>
  <c r="J43" i="7"/>
  <c r="J44" i="7" s="1"/>
  <c r="G43" i="7"/>
  <c r="B16" i="8" s="1"/>
  <c r="E43" i="7"/>
  <c r="B14" i="8" s="1"/>
  <c r="I42" i="7"/>
  <c r="B9" i="8" s="1"/>
  <c r="D9" i="8" s="1"/>
  <c r="F43" i="7"/>
  <c r="B15" i="8" s="1"/>
  <c r="G42" i="7"/>
  <c r="B7" i="8" s="1"/>
  <c r="H42" i="7"/>
  <c r="B8" i="8" s="1"/>
  <c r="F42" i="7"/>
  <c r="B6" i="8" s="1"/>
  <c r="E32" i="8"/>
  <c r="F32" i="8" s="1"/>
  <c r="F30" i="8"/>
  <c r="I44" i="7" l="1"/>
  <c r="G44" i="7"/>
  <c r="E44" i="7"/>
  <c r="H44" i="7"/>
  <c r="F44" i="7"/>
  <c r="F33" i="8"/>
  <c r="D8" i="8"/>
  <c r="D7" i="8"/>
  <c r="D6" i="8"/>
  <c r="D5" i="8"/>
  <c r="D18" i="8" l="1"/>
  <c r="G9" i="9" s="1"/>
  <c r="C46" i="7"/>
  <c r="C54" i="7" s="1"/>
  <c r="B57" i="7" s="1"/>
  <c r="D15" i="8"/>
  <c r="D9" i="9" s="1"/>
  <c r="D14" i="8"/>
  <c r="C9" i="9" s="1"/>
  <c r="D17" i="8"/>
  <c r="F9" i="9" s="1"/>
  <c r="D16" i="8"/>
  <c r="E9" i="9" s="1"/>
  <c r="I9" i="9" l="1"/>
  <c r="D19" i="8"/>
  <c r="C55" i="7"/>
</calcChain>
</file>

<file path=xl/sharedStrings.xml><?xml version="1.0" encoding="utf-8"?>
<sst xmlns="http://schemas.openxmlformats.org/spreadsheetml/2006/main" count="110" uniqueCount="76">
  <si>
    <t>Real WACC</t>
  </si>
  <si>
    <t>Cost of capex</t>
  </si>
  <si>
    <t>Cost of DM/MW/PA</t>
  </si>
  <si>
    <t>Capex</t>
  </si>
  <si>
    <t>NPV</t>
  </si>
  <si>
    <t>Year</t>
  </si>
  <si>
    <t>Annual cost of demand management</t>
  </si>
  <si>
    <t>Step change</t>
  </si>
  <si>
    <t>Total</t>
  </si>
  <si>
    <t>Annual cost of augmentation</t>
  </si>
  <si>
    <t>Demand management economic?</t>
  </si>
  <si>
    <t>Base year demand management costs</t>
  </si>
  <si>
    <t>Required demand response (MVA)</t>
  </si>
  <si>
    <t>Existing program requirement</t>
  </si>
  <si>
    <t>Forecast program requirement</t>
  </si>
  <si>
    <t>Weighting</t>
  </si>
  <si>
    <t>Rosebud to Hastings</t>
  </si>
  <si>
    <t>MGE 12</t>
  </si>
  <si>
    <t>Residential</t>
  </si>
  <si>
    <t>Estimated % participation</t>
  </si>
  <si>
    <t xml:space="preserve">Expected DM (KW) </t>
  </si>
  <si>
    <t>Cost/MVA/year</t>
  </si>
  <si>
    <t>Average</t>
  </si>
  <si>
    <t>Contribution to unit cost</t>
  </si>
  <si>
    <t xml:space="preserve">Residential </t>
  </si>
  <si>
    <t>Summer Saver</t>
  </si>
  <si>
    <t xml:space="preserve">Commercial, industrial </t>
  </si>
  <si>
    <t>Total DM unit cost</t>
  </si>
  <si>
    <t>Customer type</t>
  </si>
  <si>
    <t>Cost $/MW pa</t>
  </si>
  <si>
    <t>COST ANALYSIS</t>
  </si>
  <si>
    <t>INPUTS</t>
  </si>
  <si>
    <t>O&amp;M</t>
  </si>
  <si>
    <t>Total cost</t>
  </si>
  <si>
    <t>Deferred capital cost</t>
  </si>
  <si>
    <t>Recommended option:</t>
  </si>
  <si>
    <t>RECOMMENDED OPTION</t>
  </si>
  <si>
    <t>1. Capex without demand management</t>
  </si>
  <si>
    <t>2. Deferred capex with demand management</t>
  </si>
  <si>
    <t>Commercial &amp; Industrial</t>
  </si>
  <si>
    <t>Current demand management contract runs finishes in 2021</t>
  </si>
  <si>
    <t>O&amp;M cost as % of capex</t>
  </si>
  <si>
    <t>NPV of deferred capex with demand management</t>
  </si>
  <si>
    <t>NPV of capex without demand management</t>
  </si>
  <si>
    <t>Demand management annual cap</t>
  </si>
  <si>
    <t>(Cost)/Benefit from deferred capex with demand management</t>
  </si>
  <si>
    <t>Expected demand management MW required</t>
  </si>
  <si>
    <t>Cost/MW for C&amp;I customers based on average of MGE12 and Rosebud to Hastings</t>
  </si>
  <si>
    <t>Cost/MW for residential customers based on Summer Saver</t>
  </si>
  <si>
    <t>Average cost of DM ($/MW)</t>
  </si>
  <si>
    <t>Estimate of DM cost per MW pa</t>
  </si>
  <si>
    <t>Customers</t>
  </si>
  <si>
    <t>Comments</t>
  </si>
  <si>
    <t>Weighted Ave Cost ($/MW pa)</t>
  </si>
  <si>
    <t>Annual cost of demand management - uncapped</t>
  </si>
  <si>
    <t>Annual cost of demand management - capped</t>
  </si>
  <si>
    <t>Demand Management Evaluation:  Lower Mornington Peninsula</t>
  </si>
  <si>
    <t>Asset Life</t>
  </si>
  <si>
    <t>2021/22</t>
  </si>
  <si>
    <t>Annualised Capex</t>
  </si>
  <si>
    <t>2022/23</t>
  </si>
  <si>
    <t>2023/24</t>
  </si>
  <si>
    <t>2024/25</t>
  </si>
  <si>
    <t>2025/26</t>
  </si>
  <si>
    <t xml:space="preserve">All dollars are $ real 2019 </t>
  </si>
  <si>
    <t>All dollars are $ real 2019</t>
  </si>
  <si>
    <t>Opex Step Change</t>
  </si>
  <si>
    <t>Forecast opex ($'000, 2019)</t>
  </si>
  <si>
    <t>2019/20</t>
  </si>
  <si>
    <t>2020/21</t>
  </si>
  <si>
    <t>2026/27</t>
  </si>
  <si>
    <t>Financial Year</t>
  </si>
  <si>
    <t>Annual cost of demand management (capped)</t>
  </si>
  <si>
    <t>Type</t>
  </si>
  <si>
    <t>Program</t>
  </si>
  <si>
    <t>United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</si>
</sst>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3" formatCode="_-* #,##0.00_-;\-* #,##0.00_-;_-* &quot;-&quot;??_-;_-@_-"/>
    <numFmt numFmtId="164" formatCode="_-* #,##0_-;\-* #,##0_-;_-* &quot;-&quot;??_-;_-@_-"/>
  </numFmts>
  <fonts count="25" x14ac:knownFonts="1"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Verdana"/>
      <family val="2"/>
    </font>
    <font>
      <sz val="9"/>
      <color theme="1"/>
      <name val="Calibri"/>
      <family val="2"/>
    </font>
    <font>
      <b/>
      <sz val="9"/>
      <color rgb="FFFFFFFF"/>
      <name val="Calibri"/>
      <family val="2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sz val="10"/>
      <name val="Verdana"/>
      <family val="2"/>
    </font>
    <font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0"/>
      <name val="Calibri"/>
      <family val="2"/>
    </font>
    <font>
      <i/>
      <sz val="10"/>
      <color theme="1" tint="0.34998626667073579"/>
      <name val="Calibri"/>
      <family val="2"/>
      <scheme val="minor"/>
    </font>
    <font>
      <i/>
      <sz val="9"/>
      <color theme="1" tint="0.34998626667073579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rgb="FF0000FF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F2F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theme="8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theme="0"/>
      </right>
      <top style="medium">
        <color theme="0"/>
      </top>
      <bottom style="medium">
        <color rgb="FFFFFFFF"/>
      </bottom>
      <diagonal/>
    </border>
    <border>
      <left style="medium">
        <color theme="0"/>
      </left>
      <right/>
      <top/>
      <bottom/>
      <diagonal/>
    </border>
    <border>
      <left/>
      <right/>
      <top/>
      <bottom style="hair">
        <color auto="1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0" fontId="8" fillId="3" borderId="2" applyNumberFormat="0">
      <alignment horizontal="centerContinuous" vertical="center" wrapText="1"/>
    </xf>
    <xf numFmtId="0" fontId="20" fillId="0" borderId="0"/>
  </cellStyleXfs>
  <cellXfs count="111">
    <xf numFmtId="0" fontId="0" fillId="0" borderId="0" xfId="0"/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6" fontId="9" fillId="0" borderId="0" xfId="0" applyNumberFormat="1" applyFont="1"/>
    <xf numFmtId="43" fontId="9" fillId="0" borderId="0" xfId="0" applyNumberFormat="1" applyFont="1"/>
    <xf numFmtId="0" fontId="11" fillId="0" borderId="0" xfId="0" applyFont="1"/>
    <xf numFmtId="0" fontId="12" fillId="0" borderId="0" xfId="0" applyFont="1"/>
    <xf numFmtId="164" fontId="9" fillId="0" borderId="0" xfId="1" applyNumberFormat="1" applyFont="1"/>
    <xf numFmtId="164" fontId="9" fillId="0" borderId="0" xfId="0" applyNumberFormat="1" applyFont="1"/>
    <xf numFmtId="164" fontId="9" fillId="4" borderId="0" xfId="1" applyNumberFormat="1" applyFont="1" applyFill="1"/>
    <xf numFmtId="10" fontId="9" fillId="4" borderId="0" xfId="5" applyNumberFormat="1" applyFont="1" applyFill="1"/>
    <xf numFmtId="0" fontId="13" fillId="0" borderId="0" xfId="0" applyFont="1"/>
    <xf numFmtId="0" fontId="9" fillId="0" borderId="3" xfId="0" applyFont="1" applyBorder="1"/>
    <xf numFmtId="0" fontId="9" fillId="0" borderId="4" xfId="0" applyFont="1" applyBorder="1"/>
    <xf numFmtId="0" fontId="12" fillId="5" borderId="0" xfId="0" applyFont="1" applyFill="1"/>
    <xf numFmtId="0" fontId="9" fillId="5" borderId="0" xfId="0" applyFont="1" applyFill="1"/>
    <xf numFmtId="0" fontId="13" fillId="6" borderId="4" xfId="0" applyFont="1" applyFill="1" applyBorder="1"/>
    <xf numFmtId="0" fontId="9" fillId="6" borderId="4" xfId="0" applyFont="1" applyFill="1" applyBorder="1"/>
    <xf numFmtId="0" fontId="12" fillId="0" borderId="0" xfId="0" applyFont="1" applyBorder="1"/>
    <xf numFmtId="164" fontId="12" fillId="0" borderId="0" xfId="1" applyNumberFormat="1" applyFont="1" applyBorder="1"/>
    <xf numFmtId="6" fontId="12" fillId="0" borderId="0" xfId="0" applyNumberFormat="1" applyFont="1"/>
    <xf numFmtId="0" fontId="9" fillId="4" borderId="0" xfId="0" applyFont="1" applyFill="1"/>
    <xf numFmtId="0" fontId="9" fillId="0" borderId="5" xfId="0" applyFont="1" applyBorder="1"/>
    <xf numFmtId="6" fontId="9" fillId="0" borderId="6" xfId="0" applyNumberFormat="1" applyFont="1" applyBorder="1"/>
    <xf numFmtId="0" fontId="9" fillId="0" borderId="7" xfId="0" applyFont="1" applyBorder="1"/>
    <xf numFmtId="6" fontId="9" fillId="0" borderId="8" xfId="0" applyNumberFormat="1" applyFont="1" applyBorder="1"/>
    <xf numFmtId="0" fontId="12" fillId="0" borderId="9" xfId="0" applyFont="1" applyBorder="1"/>
    <xf numFmtId="164" fontId="12" fillId="0" borderId="9" xfId="1" applyNumberFormat="1" applyFont="1" applyBorder="1"/>
    <xf numFmtId="0" fontId="14" fillId="0" borderId="0" xfId="0" applyFont="1" applyBorder="1"/>
    <xf numFmtId="0" fontId="9" fillId="0" borderId="0" xfId="0" applyFont="1" applyBorder="1"/>
    <xf numFmtId="0" fontId="15" fillId="0" borderId="0" xfId="0" applyFont="1" applyFill="1" applyBorder="1"/>
    <xf numFmtId="164" fontId="9" fillId="4" borderId="0" xfId="1" applyNumberFormat="1" applyFont="1" applyFill="1" applyBorder="1"/>
    <xf numFmtId="164" fontId="9" fillId="4" borderId="0" xfId="5" applyNumberFormat="1" applyFont="1" applyFill="1" applyBorder="1"/>
    <xf numFmtId="0" fontId="15" fillId="0" borderId="0" xfId="0" applyFont="1" applyFill="1" applyBorder="1" applyAlignment="1">
      <alignment vertical="center" wrapText="1"/>
    </xf>
    <xf numFmtId="164" fontId="15" fillId="4" borderId="0" xfId="1" applyNumberFormat="1" applyFont="1" applyFill="1" applyBorder="1" applyAlignment="1">
      <alignment horizontal="right" vertical="center" wrapText="1"/>
    </xf>
    <xf numFmtId="0" fontId="16" fillId="6" borderId="4" xfId="0" applyFont="1" applyFill="1" applyBorder="1"/>
    <xf numFmtId="0" fontId="16" fillId="0" borderId="0" xfId="0" quotePrefix="1" applyFont="1"/>
    <xf numFmtId="0" fontId="16" fillId="0" borderId="4" xfId="0" applyFont="1" applyBorder="1"/>
    <xf numFmtId="0" fontId="16" fillId="0" borderId="0" xfId="0" applyFont="1"/>
    <xf numFmtId="0" fontId="16" fillId="0" borderId="9" xfId="0" applyFont="1" applyBorder="1"/>
    <xf numFmtId="6" fontId="11" fillId="0" borderId="0" xfId="0" applyNumberFormat="1" applyFont="1"/>
    <xf numFmtId="6" fontId="12" fillId="0" borderId="11" xfId="0" applyNumberFormat="1" applyFont="1" applyFill="1" applyBorder="1"/>
    <xf numFmtId="6" fontId="11" fillId="0" borderId="0" xfId="0" applyNumberFormat="1" applyFont="1" applyFill="1" applyBorder="1"/>
    <xf numFmtId="9" fontId="9" fillId="4" borderId="0" xfId="0" applyNumberFormat="1" applyFont="1" applyFill="1" applyBorder="1"/>
    <xf numFmtId="0" fontId="9" fillId="4" borderId="0" xfId="0" applyFont="1" applyFill="1" applyBorder="1"/>
    <xf numFmtId="164" fontId="14" fillId="0" borderId="12" xfId="1" applyNumberFormat="1" applyFont="1" applyFill="1" applyBorder="1"/>
    <xf numFmtId="0" fontId="9" fillId="0" borderId="12" xfId="0" applyFont="1" applyBorder="1"/>
    <xf numFmtId="0" fontId="14" fillId="0" borderId="12" xfId="0" applyFont="1" applyBorder="1"/>
    <xf numFmtId="0" fontId="14" fillId="6" borderId="4" xfId="6" applyFont="1" applyFill="1" applyBorder="1" applyAlignment="1">
      <alignment horizontal="left" vertical="top" wrapText="1"/>
    </xf>
    <xf numFmtId="0" fontId="12" fillId="6" borderId="4" xfId="0" applyFont="1" applyFill="1" applyBorder="1" applyAlignment="1">
      <alignment horizontal="centerContinuous" vertical="top" wrapText="1"/>
    </xf>
    <xf numFmtId="0" fontId="14" fillId="6" borderId="4" xfId="0" applyFont="1" applyFill="1" applyBorder="1" applyAlignment="1">
      <alignment horizontal="centerContinuous" vertical="top" wrapText="1"/>
    </xf>
    <xf numFmtId="0" fontId="12" fillId="6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8" fontId="12" fillId="0" borderId="0" xfId="0" applyNumberFormat="1" applyFont="1"/>
    <xf numFmtId="43" fontId="14" fillId="0" borderId="0" xfId="0" applyNumberFormat="1" applyFont="1" applyBorder="1"/>
    <xf numFmtId="164" fontId="9" fillId="7" borderId="0" xfId="0" applyNumberFormat="1" applyFont="1" applyFill="1" applyBorder="1"/>
    <xf numFmtId="164" fontId="9" fillId="0" borderId="0" xfId="0" applyNumberFormat="1" applyFont="1" applyFill="1"/>
    <xf numFmtId="43" fontId="15" fillId="0" borderId="0" xfId="0" applyNumberFormat="1" applyFont="1" applyFill="1" applyBorder="1" applyAlignment="1">
      <alignment vertical="center" wrapText="1"/>
    </xf>
    <xf numFmtId="6" fontId="18" fillId="0" borderId="0" xfId="0" applyNumberFormat="1" applyFont="1" applyFill="1" applyBorder="1"/>
    <xf numFmtId="164" fontId="18" fillId="7" borderId="0" xfId="1" applyNumberFormat="1" applyFont="1" applyFill="1"/>
    <xf numFmtId="0" fontId="18" fillId="0" borderId="0" xfId="0" applyFont="1" applyFill="1"/>
    <xf numFmtId="0" fontId="19" fillId="0" borderId="0" xfId="0" applyFont="1" applyFill="1"/>
    <xf numFmtId="164" fontId="12" fillId="0" borderId="0" xfId="0" applyNumberFormat="1" applyFont="1" applyBorder="1"/>
    <xf numFmtId="0" fontId="12" fillId="8" borderId="0" xfId="7" applyNumberFormat="1" applyFont="1" applyFill="1" applyBorder="1" applyAlignment="1">
      <alignment horizontal="right"/>
    </xf>
    <xf numFmtId="0" fontId="15" fillId="9" borderId="0" xfId="7" applyFont="1" applyFill="1" applyProtection="1"/>
    <xf numFmtId="0" fontId="12" fillId="8" borderId="0" xfId="0" applyFont="1" applyFill="1" applyBorder="1" applyAlignment="1">
      <alignment horizontal="right" vertical="center" wrapText="1"/>
    </xf>
    <xf numFmtId="0" fontId="14" fillId="10" borderId="0" xfId="7" applyFont="1" applyFill="1" applyBorder="1" applyProtection="1"/>
    <xf numFmtId="0" fontId="9" fillId="8" borderId="0" xfId="7" applyFont="1" applyFill="1" applyBorder="1"/>
    <xf numFmtId="0" fontId="14" fillId="8" borderId="0" xfId="7" applyFont="1" applyFill="1" applyBorder="1"/>
    <xf numFmtId="0" fontId="15" fillId="10" borderId="0" xfId="7" applyFont="1" applyFill="1" applyBorder="1"/>
    <xf numFmtId="0" fontId="12" fillId="0" borderId="4" xfId="0" applyFont="1" applyBorder="1" applyAlignment="1">
      <alignment horizontal="center"/>
    </xf>
    <xf numFmtId="0" fontId="21" fillId="0" borderId="10" xfId="0" applyFont="1" applyBorder="1"/>
    <xf numFmtId="0" fontId="9" fillId="0" borderId="10" xfId="0" applyFont="1" applyBorder="1"/>
    <xf numFmtId="3" fontId="9" fillId="0" borderId="0" xfId="0" applyNumberFormat="1" applyFont="1"/>
    <xf numFmtId="0" fontId="1" fillId="0" borderId="0" xfId="0" applyFont="1"/>
    <xf numFmtId="0" fontId="22" fillId="0" borderId="0" xfId="0" applyFont="1"/>
    <xf numFmtId="0" fontId="4" fillId="2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3" fillId="4" borderId="1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3" fontId="3" fillId="0" borderId="18" xfId="0" applyNumberFormat="1" applyFont="1" applyFill="1" applyBorder="1" applyAlignment="1">
      <alignment horizontal="right" vertical="center"/>
    </xf>
    <xf numFmtId="9" fontId="3" fillId="0" borderId="18" xfId="5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 vertical="center" wrapText="1"/>
    </xf>
    <xf numFmtId="3" fontId="3" fillId="0" borderId="12" xfId="0" applyNumberFormat="1" applyFont="1" applyFill="1" applyBorder="1" applyAlignment="1">
      <alignment horizontal="right" vertical="center"/>
    </xf>
    <xf numFmtId="9" fontId="3" fillId="0" borderId="12" xfId="5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3" fontId="23" fillId="4" borderId="0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3" fontId="5" fillId="0" borderId="3" xfId="0" applyNumberFormat="1" applyFont="1" applyFill="1" applyBorder="1" applyAlignment="1">
      <alignment horizontal="right" vertical="center"/>
    </xf>
    <xf numFmtId="0" fontId="5" fillId="11" borderId="0" xfId="0" applyFont="1" applyFill="1" applyBorder="1" applyAlignment="1">
      <alignment vertical="top" wrapText="1"/>
    </xf>
    <xf numFmtId="0" fontId="5" fillId="11" borderId="0" xfId="0" applyFont="1" applyFill="1" applyBorder="1" applyAlignment="1">
      <alignment horizontal="left" vertical="top" wrapText="1"/>
    </xf>
    <xf numFmtId="0" fontId="5" fillId="11" borderId="0" xfId="0" applyFont="1" applyFill="1" applyBorder="1" applyAlignment="1">
      <alignment horizontal="right" vertical="top" wrapText="1"/>
    </xf>
    <xf numFmtId="0" fontId="21" fillId="0" borderId="0" xfId="0" applyFont="1" applyBorder="1"/>
    <xf numFmtId="0" fontId="24" fillId="0" borderId="0" xfId="0" applyFont="1" applyBorder="1"/>
    <xf numFmtId="0" fontId="17" fillId="2" borderId="17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</cellXfs>
  <cellStyles count="8">
    <cellStyle name="Comma" xfId="1" builtinId="3"/>
    <cellStyle name="Normal" xfId="0" builtinId="0"/>
    <cellStyle name="Normal 2" xfId="4" xr:uid="{00000000-0005-0000-0000-000002000000}"/>
    <cellStyle name="Normal 3" xfId="2" xr:uid="{00000000-0005-0000-0000-000003000000}"/>
    <cellStyle name="Normal 3 2" xfId="7" xr:uid="{00000000-0005-0000-0000-000004000000}"/>
    <cellStyle name="Percent" xfId="5" builtinId="5"/>
    <cellStyle name="Percent 2" xfId="3" xr:uid="{00000000-0005-0000-0000-000006000000}"/>
    <cellStyle name="Table_Heading" xfId="6" xr:uid="{00000000-0005-0000-0000-000007000000}"/>
  </cellStyles>
  <dxfs count="0"/>
  <tableStyles count="0" defaultTableStyle="TableStyleMedium2" defaultPivotStyle="PivotStyleLight16"/>
  <colors>
    <mruColors>
      <color rgb="FF66FF33"/>
      <color rgb="FFCCECFF"/>
      <color rgb="FFCCFFFF"/>
      <color rgb="FF0000FF"/>
      <color rgb="FFFFFFCC"/>
      <color rgb="FFFF99FF"/>
      <color rgb="FFFFCCFF"/>
      <color rgb="FF002060"/>
      <color rgb="FF00FF00"/>
      <color rgb="FFE2F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18"/>
  <sheetViews>
    <sheetView showGridLines="0" tabSelected="1" zoomScale="70" zoomScaleNormal="70" workbookViewId="0">
      <selection activeCell="E8" sqref="E8"/>
    </sheetView>
  </sheetViews>
  <sheetFormatPr defaultColWidth="9" defaultRowHeight="12.75" x14ac:dyDescent="0.2"/>
  <cols>
    <col min="1" max="1" width="24.375" style="4" customWidth="1"/>
    <col min="2" max="2" width="17.375" style="4" customWidth="1"/>
    <col min="3" max="3" width="13.875" style="4" customWidth="1"/>
    <col min="4" max="4" width="14" style="4" bestFit="1" customWidth="1"/>
    <col min="5" max="5" width="13.625" style="4" bestFit="1" customWidth="1"/>
    <col min="6" max="7" width="15.625" style="4" bestFit="1" customWidth="1"/>
    <col min="8" max="8" width="14.25" style="4" bestFit="1" customWidth="1"/>
    <col min="9" max="9" width="12.375" style="4" customWidth="1"/>
    <col min="10" max="10" width="9.625" style="4" bestFit="1" customWidth="1"/>
    <col min="11" max="11" width="9" style="4"/>
    <col min="12" max="12" width="11.5" style="4" customWidth="1"/>
    <col min="13" max="16384" width="9" style="4"/>
  </cols>
  <sheetData>
    <row r="1" spans="1:10" ht="18.75" x14ac:dyDescent="0.3">
      <c r="A1" s="106" t="s">
        <v>75</v>
      </c>
    </row>
    <row r="2" spans="1:10" ht="16.5" thickBot="1" x14ac:dyDescent="0.3">
      <c r="A2" s="75" t="s">
        <v>56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3.5" thickTop="1" x14ac:dyDescent="0.2"/>
    <row r="4" spans="1:10" x14ac:dyDescent="0.2">
      <c r="A4" s="8" t="s">
        <v>64</v>
      </c>
    </row>
    <row r="6" spans="1:10" x14ac:dyDescent="0.2">
      <c r="A6" s="17" t="s">
        <v>31</v>
      </c>
      <c r="B6" s="17"/>
      <c r="C6" s="18"/>
      <c r="D6" s="18"/>
      <c r="E6" s="18"/>
      <c r="F6" s="18"/>
      <c r="G6" s="18"/>
      <c r="H6" s="18"/>
      <c r="I6" s="18"/>
      <c r="J6" s="18"/>
    </row>
    <row r="7" spans="1:10" x14ac:dyDescent="0.2">
      <c r="A7" s="5"/>
      <c r="B7" s="5"/>
    </row>
    <row r="8" spans="1:10" x14ac:dyDescent="0.2">
      <c r="A8" s="8" t="s">
        <v>65</v>
      </c>
      <c r="B8" s="8"/>
    </row>
    <row r="9" spans="1:10" x14ac:dyDescent="0.2">
      <c r="A9" s="8" t="s">
        <v>40</v>
      </c>
      <c r="B9" s="8"/>
    </row>
    <row r="10" spans="1:10" x14ac:dyDescent="0.2">
      <c r="A10" s="8"/>
      <c r="B10" s="8"/>
    </row>
    <row r="11" spans="1:10" x14ac:dyDescent="0.2">
      <c r="A11" s="5"/>
      <c r="B11" s="5"/>
    </row>
    <row r="12" spans="1:10" x14ac:dyDescent="0.2">
      <c r="A12" s="4" t="s">
        <v>1</v>
      </c>
      <c r="C12" s="12">
        <v>31475607.623710368</v>
      </c>
      <c r="E12" s="6"/>
    </row>
    <row r="13" spans="1:10" x14ac:dyDescent="0.2">
      <c r="A13" s="4" t="s">
        <v>2</v>
      </c>
      <c r="C13" s="12">
        <f>'DM cost'!F9</f>
        <v>86854.598076770009</v>
      </c>
    </row>
    <row r="14" spans="1:10" x14ac:dyDescent="0.2">
      <c r="A14" s="4" t="s">
        <v>0</v>
      </c>
      <c r="C14" s="13">
        <v>2.75E-2</v>
      </c>
    </row>
    <row r="15" spans="1:10" x14ac:dyDescent="0.2">
      <c r="A15" s="4" t="s">
        <v>57</v>
      </c>
      <c r="C15" s="12">
        <v>50</v>
      </c>
    </row>
    <row r="16" spans="1:10" x14ac:dyDescent="0.2">
      <c r="A16" s="4" t="s">
        <v>41</v>
      </c>
      <c r="C16" s="13">
        <v>0.01</v>
      </c>
      <c r="F16" s="7"/>
    </row>
    <row r="18" spans="1:10" x14ac:dyDescent="0.2">
      <c r="A18" s="17" t="s">
        <v>30</v>
      </c>
      <c r="B18" s="17"/>
      <c r="C18" s="18"/>
      <c r="D18" s="18"/>
      <c r="E18" s="18"/>
      <c r="F18" s="18"/>
      <c r="G18" s="18"/>
      <c r="H18" s="18"/>
      <c r="I18" s="18"/>
      <c r="J18" s="18"/>
    </row>
    <row r="19" spans="1:10" ht="5.25" customHeight="1" x14ac:dyDescent="0.2">
      <c r="A19" s="21"/>
      <c r="B19" s="21"/>
      <c r="C19" s="21"/>
      <c r="D19" s="22"/>
      <c r="E19" s="22"/>
      <c r="F19" s="22"/>
      <c r="G19" s="22"/>
      <c r="H19" s="22"/>
    </row>
    <row r="20" spans="1:10" x14ac:dyDescent="0.2">
      <c r="A20" s="5"/>
      <c r="B20" s="5"/>
    </row>
    <row r="21" spans="1:10" x14ac:dyDescent="0.2">
      <c r="A21" s="19" t="s">
        <v>37</v>
      </c>
      <c r="B21" s="19"/>
      <c r="C21" s="20"/>
      <c r="D21" s="20"/>
      <c r="E21" s="20"/>
      <c r="F21" s="20"/>
      <c r="G21" s="20"/>
      <c r="H21" s="20"/>
      <c r="I21" s="20"/>
      <c r="J21" s="20"/>
    </row>
    <row r="22" spans="1:10" x14ac:dyDescent="0.2">
      <c r="A22" s="14"/>
      <c r="B22" s="14"/>
    </row>
    <row r="23" spans="1:10" x14ac:dyDescent="0.2">
      <c r="A23" s="16"/>
      <c r="B23" s="16"/>
      <c r="C23" s="74" t="s">
        <v>68</v>
      </c>
      <c r="D23" s="74" t="s">
        <v>69</v>
      </c>
      <c r="E23" s="74" t="s">
        <v>58</v>
      </c>
      <c r="F23" s="74" t="s">
        <v>60</v>
      </c>
      <c r="G23" s="74" t="s">
        <v>61</v>
      </c>
      <c r="H23" s="74" t="s">
        <v>62</v>
      </c>
      <c r="I23" s="74" t="s">
        <v>63</v>
      </c>
      <c r="J23" s="74" t="s">
        <v>70</v>
      </c>
    </row>
    <row r="24" spans="1:10" x14ac:dyDescent="0.2">
      <c r="A24" s="32" t="s">
        <v>3</v>
      </c>
      <c r="B24" s="32"/>
      <c r="C24" s="21"/>
      <c r="D24" s="21"/>
      <c r="E24" s="66">
        <f>C12</f>
        <v>31475607.623710368</v>
      </c>
      <c r="F24" s="21"/>
      <c r="G24" s="21"/>
      <c r="H24" s="21"/>
      <c r="I24" s="21"/>
      <c r="J24" s="21"/>
    </row>
    <row r="25" spans="1:10" x14ac:dyDescent="0.2">
      <c r="A25" s="4" t="s">
        <v>59</v>
      </c>
      <c r="D25" s="10"/>
      <c r="E25" s="10">
        <v>0</v>
      </c>
      <c r="F25" s="11">
        <f>-PMT($C$14,$C$15,$C$12)</f>
        <v>1165885.4482470767</v>
      </c>
      <c r="G25" s="11">
        <f t="shared" ref="G25:J25" si="0">-PMT($C$14,$C$15,$C$12)</f>
        <v>1165885.4482470767</v>
      </c>
      <c r="H25" s="11">
        <f t="shared" si="0"/>
        <v>1165885.4482470767</v>
      </c>
      <c r="I25" s="11">
        <f t="shared" si="0"/>
        <v>1165885.4482470767</v>
      </c>
      <c r="J25" s="11">
        <f t="shared" si="0"/>
        <v>1165885.4482470767</v>
      </c>
    </row>
    <row r="26" spans="1:10" x14ac:dyDescent="0.2">
      <c r="A26" s="4" t="s">
        <v>32</v>
      </c>
      <c r="D26" s="11"/>
      <c r="E26" s="11">
        <v>0</v>
      </c>
      <c r="F26" s="11">
        <f>$C$12*$C$16</f>
        <v>314756.07623710367</v>
      </c>
      <c r="G26" s="11">
        <f>$C$12*$C$16</f>
        <v>314756.07623710367</v>
      </c>
      <c r="H26" s="11">
        <f>$C$12*$C$16</f>
        <v>314756.07623710367</v>
      </c>
      <c r="I26" s="11">
        <f>$C$12*$C$16</f>
        <v>314756.07623710367</v>
      </c>
      <c r="J26" s="11">
        <f>$C$12*$C$16</f>
        <v>314756.07623710367</v>
      </c>
    </row>
    <row r="27" spans="1:10" x14ac:dyDescent="0.2">
      <c r="A27" s="29" t="s">
        <v>33</v>
      </c>
      <c r="B27" s="29"/>
      <c r="C27" s="29"/>
      <c r="D27" s="30"/>
      <c r="E27" s="30">
        <f t="shared" ref="E27:I27" si="1">SUM(E25:E26)</f>
        <v>0</v>
      </c>
      <c r="F27" s="30">
        <f t="shared" si="1"/>
        <v>1480641.5244841804</v>
      </c>
      <c r="G27" s="30">
        <f t="shared" si="1"/>
        <v>1480641.5244841804</v>
      </c>
      <c r="H27" s="30">
        <f t="shared" si="1"/>
        <v>1480641.5244841804</v>
      </c>
      <c r="I27" s="30">
        <f t="shared" si="1"/>
        <v>1480641.5244841804</v>
      </c>
      <c r="J27" s="30">
        <f t="shared" ref="J27" si="2">SUM(J25:J26)</f>
        <v>1480641.5244841804</v>
      </c>
    </row>
    <row r="28" spans="1:10" ht="5.25" customHeight="1" x14ac:dyDescent="0.2">
      <c r="A28" s="21"/>
      <c r="B28" s="21"/>
      <c r="C28" s="21"/>
      <c r="D28" s="22"/>
      <c r="E28" s="22"/>
      <c r="F28" s="22"/>
      <c r="G28" s="22"/>
      <c r="H28" s="22"/>
    </row>
    <row r="29" spans="1:10" x14ac:dyDescent="0.2">
      <c r="A29" s="9" t="s">
        <v>43</v>
      </c>
      <c r="B29" s="39"/>
      <c r="C29" s="44">
        <f>NPV($C$14,D27:J27)</f>
        <v>6646793.4240327459</v>
      </c>
      <c r="D29" s="23"/>
      <c r="E29" s="23"/>
    </row>
    <row r="30" spans="1:10" x14ac:dyDescent="0.2">
      <c r="A30" s="9" t="s">
        <v>44</v>
      </c>
      <c r="B30" s="41"/>
      <c r="C30" s="44">
        <f>$F$27</f>
        <v>1480641.5244841804</v>
      </c>
      <c r="D30" s="6"/>
      <c r="E30" s="6"/>
    </row>
    <row r="31" spans="1:10" x14ac:dyDescent="0.2">
      <c r="B31" s="39"/>
      <c r="C31" s="6"/>
      <c r="D31" s="6"/>
      <c r="E31" s="6"/>
    </row>
    <row r="32" spans="1:10" x14ac:dyDescent="0.2">
      <c r="B32" s="39"/>
      <c r="C32" s="6"/>
      <c r="D32" s="6"/>
      <c r="E32" s="6"/>
    </row>
    <row r="33" spans="1:10" x14ac:dyDescent="0.2">
      <c r="B33" s="39"/>
    </row>
    <row r="34" spans="1:10" x14ac:dyDescent="0.2">
      <c r="A34" s="19" t="s">
        <v>38</v>
      </c>
      <c r="B34" s="38"/>
      <c r="C34" s="20"/>
      <c r="D34" s="20"/>
      <c r="E34" s="20"/>
      <c r="F34" s="20"/>
      <c r="G34" s="20"/>
      <c r="H34" s="20"/>
      <c r="I34" s="20"/>
      <c r="J34" s="20"/>
    </row>
    <row r="35" spans="1:10" x14ac:dyDescent="0.2">
      <c r="B35" s="39"/>
    </row>
    <row r="36" spans="1:10" x14ac:dyDescent="0.2">
      <c r="A36" s="16"/>
      <c r="B36" s="40"/>
      <c r="C36" s="74" t="s">
        <v>68</v>
      </c>
      <c r="D36" s="74" t="s">
        <v>69</v>
      </c>
      <c r="E36" s="74" t="s">
        <v>58</v>
      </c>
      <c r="F36" s="74" t="s">
        <v>60</v>
      </c>
      <c r="G36" s="74" t="s">
        <v>61</v>
      </c>
      <c r="H36" s="74" t="s">
        <v>62</v>
      </c>
      <c r="I36" s="74" t="s">
        <v>63</v>
      </c>
      <c r="J36" s="74" t="s">
        <v>70</v>
      </c>
    </row>
    <row r="37" spans="1:10" x14ac:dyDescent="0.2">
      <c r="A37" s="4" t="s">
        <v>46</v>
      </c>
      <c r="B37" s="41"/>
      <c r="C37" s="23"/>
      <c r="D37" s="11">
        <v>0</v>
      </c>
      <c r="E37" s="24">
        <v>13.1</v>
      </c>
      <c r="F37" s="24">
        <v>13.5</v>
      </c>
      <c r="G37" s="24">
        <v>17.7</v>
      </c>
      <c r="H37" s="24">
        <v>21.8</v>
      </c>
      <c r="I37" s="24">
        <v>25.6</v>
      </c>
    </row>
    <row r="39" spans="1:10" x14ac:dyDescent="0.2">
      <c r="A39" s="4" t="s">
        <v>34</v>
      </c>
      <c r="B39" s="41"/>
      <c r="D39" s="11"/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f>C12</f>
        <v>31475607.623710368</v>
      </c>
    </row>
    <row r="40" spans="1:10" x14ac:dyDescent="0.2">
      <c r="A40" s="4" t="s">
        <v>59</v>
      </c>
      <c r="B40" s="41"/>
      <c r="D40" s="11"/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</row>
    <row r="41" spans="1:10" x14ac:dyDescent="0.2">
      <c r="A41" s="4" t="s">
        <v>32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</row>
    <row r="42" spans="1:10" x14ac:dyDescent="0.2">
      <c r="A42" s="64" t="s">
        <v>54</v>
      </c>
      <c r="B42" s="65"/>
      <c r="C42" s="62"/>
      <c r="D42" s="63"/>
      <c r="E42" s="63">
        <f>IF(SUM($D38:E38)&gt;0,0,E37*$C$13)</f>
        <v>1137795.2348056871</v>
      </c>
      <c r="F42" s="63">
        <f>IF(SUM($D38:F38)&gt;0,0,F37*$C$13)</f>
        <v>1172537.0740363952</v>
      </c>
      <c r="G42" s="63">
        <f>IF(SUM($D38:G38)&gt;0,0,G37*$C$13)</f>
        <v>1537326.3859588292</v>
      </c>
      <c r="H42" s="63">
        <f>IF(SUM($D38:H38)&gt;0,0,H37*$C$13)</f>
        <v>1893430.2380735863</v>
      </c>
      <c r="I42" s="63">
        <f>IF(SUM($D38:I38)&gt;0,0,I37*$C$13)</f>
        <v>2223477.7107653124</v>
      </c>
      <c r="J42" s="63">
        <f>IF(SUM($D38:J38)&gt;0,0,J37*$C$13)</f>
        <v>0</v>
      </c>
    </row>
    <row r="43" spans="1:10" x14ac:dyDescent="0.2">
      <c r="A43" s="4" t="s">
        <v>55</v>
      </c>
      <c r="B43" s="41"/>
      <c r="D43" s="10"/>
      <c r="E43" s="10">
        <f>IF(SUM($D38:E38)&gt;0,0,MIN(E37*$C$13,$C$30))</f>
        <v>1137795.2348056871</v>
      </c>
      <c r="F43" s="10">
        <f>IF(SUM($D38:F38)&gt;0,0,MIN(F37*$C$13,$C$30))</f>
        <v>1172537.0740363952</v>
      </c>
      <c r="G43" s="10">
        <f>IF(SUM($D38:G38)&gt;0,0,MIN(G37*$C$13,$C$30))</f>
        <v>1480641.5244841804</v>
      </c>
      <c r="H43" s="10">
        <f>IF(SUM($D38:H38)&gt;0,0,MIN(H37*$C$13,$C$30))</f>
        <v>1480641.5244841804</v>
      </c>
      <c r="I43" s="10">
        <f>IF(SUM($D38:I38)&gt;0,0,MIN(I37*$C$13,$C$30))</f>
        <v>1480641.5244841804</v>
      </c>
      <c r="J43" s="10">
        <f>IF(SUM($D38:J38)&gt;0,0,MIN(J37*$C$13,$C$30))</f>
        <v>0</v>
      </c>
    </row>
    <row r="44" spans="1:10" x14ac:dyDescent="0.2">
      <c r="A44" s="29" t="s">
        <v>33</v>
      </c>
      <c r="B44" s="42"/>
      <c r="C44" s="29"/>
      <c r="D44" s="30"/>
      <c r="E44" s="30">
        <f>E43+E40+E41</f>
        <v>1137795.2348056871</v>
      </c>
      <c r="F44" s="30">
        <f t="shared" ref="F44:J44" si="3">F43+F40+F41</f>
        <v>1172537.0740363952</v>
      </c>
      <c r="G44" s="30">
        <f t="shared" si="3"/>
        <v>1480641.5244841804</v>
      </c>
      <c r="H44" s="30">
        <f t="shared" si="3"/>
        <v>1480641.5244841804</v>
      </c>
      <c r="I44" s="30">
        <f t="shared" si="3"/>
        <v>1480641.5244841804</v>
      </c>
      <c r="J44" s="30">
        <f t="shared" si="3"/>
        <v>0</v>
      </c>
    </row>
    <row r="45" spans="1:10" ht="5.25" customHeight="1" x14ac:dyDescent="0.2">
      <c r="A45" s="21"/>
      <c r="B45" s="21"/>
      <c r="C45" s="21"/>
      <c r="D45" s="22"/>
      <c r="E45" s="22"/>
      <c r="F45" s="22"/>
      <c r="G45" s="22"/>
      <c r="H45" s="22"/>
    </row>
    <row r="46" spans="1:10" x14ac:dyDescent="0.2">
      <c r="A46" s="9" t="s">
        <v>42</v>
      </c>
      <c r="C46" s="44">
        <f>NPV($C14, D44:J44)</f>
        <v>6204076.9481930854</v>
      </c>
      <c r="D46" s="6"/>
      <c r="E46" s="6"/>
    </row>
    <row r="47" spans="1:10" x14ac:dyDescent="0.2">
      <c r="A47" s="9"/>
      <c r="B47" s="9"/>
      <c r="C47" s="57"/>
      <c r="D47" s="9"/>
      <c r="E47" s="9"/>
    </row>
    <row r="48" spans="1:10" x14ac:dyDescent="0.2">
      <c r="D48" s="6"/>
      <c r="E48" s="6"/>
    </row>
    <row r="49" spans="1:10" x14ac:dyDescent="0.2">
      <c r="E49" s="6"/>
    </row>
    <row r="50" spans="1:10" x14ac:dyDescent="0.2">
      <c r="A50" s="17" t="s">
        <v>36</v>
      </c>
      <c r="B50" s="17"/>
      <c r="C50" s="18"/>
      <c r="D50" s="18"/>
      <c r="E50" s="18"/>
      <c r="F50" s="18"/>
      <c r="G50" s="18"/>
      <c r="H50" s="18"/>
      <c r="I50" s="18"/>
      <c r="J50" s="18"/>
    </row>
    <row r="52" spans="1:10" x14ac:dyDescent="0.2">
      <c r="A52" s="9" t="s">
        <v>4</v>
      </c>
    </row>
    <row r="53" spans="1:10" x14ac:dyDescent="0.2">
      <c r="A53" s="25" t="str">
        <f>A21</f>
        <v>1. Capex without demand management</v>
      </c>
      <c r="B53" s="15"/>
      <c r="C53" s="26">
        <f>C29</f>
        <v>6646793.4240327459</v>
      </c>
    </row>
    <row r="54" spans="1:10" x14ac:dyDescent="0.2">
      <c r="A54" s="27" t="s">
        <v>38</v>
      </c>
      <c r="B54" s="16"/>
      <c r="C54" s="28">
        <f>C46</f>
        <v>6204076.9481930854</v>
      </c>
    </row>
    <row r="55" spans="1:10" x14ac:dyDescent="0.2">
      <c r="A55" s="8" t="s">
        <v>45</v>
      </c>
      <c r="B55" s="8"/>
      <c r="C55" s="45">
        <f>C29-C46</f>
        <v>442716.4758396605</v>
      </c>
    </row>
    <row r="56" spans="1:10" ht="5.25" customHeight="1" x14ac:dyDescent="0.2">
      <c r="A56" s="21"/>
      <c r="B56" s="21"/>
      <c r="C56" s="21"/>
      <c r="D56" s="22"/>
      <c r="E56" s="22"/>
      <c r="F56" s="22"/>
      <c r="G56" s="22"/>
      <c r="H56" s="22"/>
    </row>
    <row r="57" spans="1:10" x14ac:dyDescent="0.2">
      <c r="A57" s="9" t="s">
        <v>35</v>
      </c>
      <c r="B57" s="4" t="str">
        <f>INDEX(A53:A54, MATCH(MIN($C$53:$C$54), $C$53:$C$54,0))</f>
        <v>2. Deferred capex with demand management</v>
      </c>
      <c r="D57" s="23"/>
    </row>
    <row r="58" spans="1:10" x14ac:dyDescent="0.2">
      <c r="A58" s="9"/>
      <c r="D58" s="23"/>
    </row>
    <row r="59" spans="1:10" x14ac:dyDescent="0.2">
      <c r="A59" s="8"/>
      <c r="B59" s="43"/>
    </row>
    <row r="74" ht="9.75" customHeight="1" x14ac:dyDescent="0.2"/>
    <row r="118" ht="13.5" customHeight="1" x14ac:dyDescent="0.2"/>
  </sheetData>
  <conditionalFormatting sqref="C53:C54">
    <cfRule type="colorScale" priority="1">
      <colorScale>
        <cfvo type="min"/>
        <cfvo type="max"/>
        <color rgb="FF66FF33"/>
        <color theme="0"/>
      </colorScale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55118110236220474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showGridLines="0" zoomScale="85" zoomScaleNormal="85" workbookViewId="0">
      <selection sqref="A1:J2"/>
    </sheetView>
  </sheetViews>
  <sheetFormatPr defaultRowHeight="12.75" x14ac:dyDescent="0.2"/>
  <cols>
    <col min="1" max="1" width="3.5" style="4" customWidth="1"/>
    <col min="2" max="2" width="15" style="4" customWidth="1"/>
    <col min="3" max="7" width="9" style="4"/>
    <col min="8" max="8" width="1.75" style="4" customWidth="1"/>
    <col min="9" max="16384" width="9" style="4"/>
  </cols>
  <sheetData>
    <row r="1" spans="1:10" ht="18.75" x14ac:dyDescent="0.3">
      <c r="A1" s="106" t="s">
        <v>75</v>
      </c>
    </row>
    <row r="2" spans="1:10" ht="16.5" thickBot="1" x14ac:dyDescent="0.3">
      <c r="A2" s="75" t="s">
        <v>56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3.5" thickTop="1" x14ac:dyDescent="0.2"/>
    <row r="4" spans="1:10" x14ac:dyDescent="0.2">
      <c r="A4" s="8" t="s">
        <v>64</v>
      </c>
    </row>
    <row r="6" spans="1:10" x14ac:dyDescent="0.2">
      <c r="B6" s="70" t="s">
        <v>67</v>
      </c>
    </row>
    <row r="7" spans="1:10" x14ac:dyDescent="0.2">
      <c r="B7" s="71"/>
      <c r="C7" s="67" t="s">
        <v>58</v>
      </c>
      <c r="D7" s="67" t="s">
        <v>60</v>
      </c>
      <c r="E7" s="67" t="s">
        <v>61</v>
      </c>
      <c r="F7" s="67" t="s">
        <v>62</v>
      </c>
      <c r="G7" s="67" t="s">
        <v>63</v>
      </c>
      <c r="H7" s="68"/>
      <c r="I7" s="67" t="s">
        <v>8</v>
      </c>
    </row>
    <row r="8" spans="1:10" x14ac:dyDescent="0.2">
      <c r="B8" s="72"/>
      <c r="C8" s="69"/>
      <c r="D8" s="69"/>
      <c r="E8" s="69"/>
      <c r="F8" s="69"/>
      <c r="G8" s="69"/>
      <c r="H8" s="68"/>
      <c r="I8" s="69"/>
    </row>
    <row r="9" spans="1:10" x14ac:dyDescent="0.2">
      <c r="B9" s="73" t="s">
        <v>66</v>
      </c>
      <c r="C9" s="77">
        <f>Tables!$D14</f>
        <v>875.03223480568727</v>
      </c>
      <c r="D9" s="77">
        <f>Tables!$D15</f>
        <v>909.77407403639518</v>
      </c>
      <c r="E9" s="77">
        <f>Tables!$D16</f>
        <v>1217.8785244841804</v>
      </c>
      <c r="F9" s="77">
        <f>Tables!$D17</f>
        <v>1217.8785244841804</v>
      </c>
      <c r="G9" s="77">
        <f>Tables!$D18</f>
        <v>1217.8785244841804</v>
      </c>
      <c r="I9" s="77">
        <f>SUM(C9:G9)</f>
        <v>5438.4418822946236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J26"/>
  <sheetViews>
    <sheetView showGridLines="0" zoomScale="85" zoomScaleNormal="85" workbookViewId="0">
      <selection activeCell="A2" sqref="A2"/>
    </sheetView>
  </sheetViews>
  <sheetFormatPr defaultColWidth="9" defaultRowHeight="12.75" x14ac:dyDescent="0.2"/>
  <cols>
    <col min="1" max="1" width="26.125" style="4" customWidth="1"/>
    <col min="2" max="3" width="12.75" style="4" customWidth="1"/>
    <col min="4" max="4" width="16.125" style="4" customWidth="1"/>
    <col min="5" max="5" width="14.125" style="4" customWidth="1"/>
    <col min="6" max="6" width="15.75" style="4" customWidth="1"/>
    <col min="7" max="7" width="1.875" style="4" customWidth="1"/>
    <col min="8" max="8" width="55.625" style="4" customWidth="1"/>
    <col min="9" max="16384" width="9" style="4"/>
  </cols>
  <sheetData>
    <row r="1" spans="1:10" ht="18.75" x14ac:dyDescent="0.3">
      <c r="A1" s="106" t="s">
        <v>75</v>
      </c>
    </row>
    <row r="2" spans="1:10" ht="16.5" thickBot="1" x14ac:dyDescent="0.3">
      <c r="A2" s="75" t="str">
        <f>Option_evaluation!A2</f>
        <v>Demand Management Evaluation:  Lower Mornington Peninsula</v>
      </c>
      <c r="B2" s="76"/>
      <c r="C2" s="76"/>
      <c r="D2" s="76"/>
      <c r="E2" s="76"/>
      <c r="F2" s="76"/>
      <c r="G2" s="76"/>
      <c r="H2" s="76"/>
      <c r="I2" s="76"/>
    </row>
    <row r="3" spans="1:10" ht="13.5" thickTop="1" x14ac:dyDescent="0.2">
      <c r="A3" s="5"/>
      <c r="G3" s="32"/>
    </row>
    <row r="4" spans="1:10" x14ac:dyDescent="0.2">
      <c r="A4" s="9" t="s">
        <v>50</v>
      </c>
      <c r="G4" s="32"/>
    </row>
    <row r="5" spans="1:10" x14ac:dyDescent="0.2">
      <c r="A5" s="5"/>
      <c r="G5" s="32"/>
    </row>
    <row r="6" spans="1:10" ht="25.5" x14ac:dyDescent="0.2">
      <c r="A6" s="51" t="s">
        <v>28</v>
      </c>
      <c r="B6" s="52" t="s">
        <v>51</v>
      </c>
      <c r="C6" s="53" t="s">
        <v>29</v>
      </c>
      <c r="D6" s="52" t="s">
        <v>19</v>
      </c>
      <c r="E6" s="52" t="s">
        <v>20</v>
      </c>
      <c r="F6" s="53" t="s">
        <v>53</v>
      </c>
      <c r="H6" s="54" t="s">
        <v>52</v>
      </c>
    </row>
    <row r="7" spans="1:10" x14ac:dyDescent="0.2">
      <c r="A7" s="32" t="s">
        <v>18</v>
      </c>
      <c r="B7" s="34">
        <v>629183</v>
      </c>
      <c r="C7" s="37">
        <v>136729.0502486497</v>
      </c>
      <c r="D7" s="46">
        <v>0.15</v>
      </c>
      <c r="E7" s="47">
        <v>0.65</v>
      </c>
      <c r="F7" s="59"/>
      <c r="G7" s="10"/>
      <c r="H7" s="8" t="s">
        <v>48</v>
      </c>
    </row>
    <row r="8" spans="1:10" x14ac:dyDescent="0.2">
      <c r="A8" s="32" t="s">
        <v>39</v>
      </c>
      <c r="B8" s="35">
        <f>41627+5063</f>
        <v>46690</v>
      </c>
      <c r="C8" s="37">
        <v>75933.03974706406</v>
      </c>
      <c r="D8" s="46">
        <v>0.02</v>
      </c>
      <c r="E8" s="47">
        <v>300</v>
      </c>
      <c r="F8" s="59"/>
      <c r="G8" s="10"/>
      <c r="H8" s="8" t="s">
        <v>47</v>
      </c>
    </row>
    <row r="9" spans="1:10" x14ac:dyDescent="0.2">
      <c r="A9" s="50" t="s">
        <v>49</v>
      </c>
      <c r="B9" s="49"/>
      <c r="C9" s="49"/>
      <c r="D9" s="49"/>
      <c r="E9" s="49"/>
      <c r="F9" s="48">
        <f>SUMPRODUCT(B7:B8,C7:C8, D7:D8,E7:E8)/SUMPRODUCT(D7:D8, E7:E8, B7:B8)</f>
        <v>86854.598076770009</v>
      </c>
    </row>
    <row r="10" spans="1:10" x14ac:dyDescent="0.2">
      <c r="A10" s="32"/>
      <c r="B10" s="32"/>
      <c r="C10" s="32"/>
      <c r="D10" s="32"/>
      <c r="E10" s="32"/>
      <c r="G10" s="32"/>
    </row>
    <row r="11" spans="1:10" x14ac:dyDescent="0.2">
      <c r="A11" s="31"/>
      <c r="B11" s="31"/>
      <c r="C11" s="31"/>
      <c r="D11" s="31"/>
      <c r="E11" s="58"/>
      <c r="F11" s="31"/>
      <c r="G11" s="31"/>
      <c r="I11" s="31"/>
      <c r="J11" s="31"/>
    </row>
    <row r="12" spans="1:10" x14ac:dyDescent="0.2">
      <c r="A12" s="36"/>
      <c r="B12" s="36"/>
      <c r="C12" s="36"/>
      <c r="D12" s="36"/>
      <c r="E12" s="58"/>
      <c r="F12" s="36"/>
      <c r="G12" s="36"/>
      <c r="H12" s="36"/>
      <c r="I12" s="36"/>
      <c r="J12" s="36"/>
    </row>
    <row r="13" spans="1:10" x14ac:dyDescent="0.2">
      <c r="A13" s="36"/>
      <c r="B13" s="36"/>
      <c r="C13" s="36"/>
      <c r="D13" s="61"/>
      <c r="E13" s="36"/>
      <c r="F13" s="36"/>
      <c r="G13" s="36"/>
      <c r="H13" s="36"/>
      <c r="I13" s="36"/>
      <c r="J13" s="36"/>
    </row>
    <row r="14" spans="1:10" x14ac:dyDescent="0.2">
      <c r="A14" s="36"/>
      <c r="B14" s="36"/>
      <c r="C14" s="36"/>
      <c r="D14" s="61"/>
      <c r="E14" s="36"/>
      <c r="F14" s="36"/>
      <c r="G14" s="36"/>
      <c r="H14" s="36"/>
      <c r="I14" s="36"/>
      <c r="J14" s="36"/>
    </row>
    <row r="15" spans="1:10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10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</row>
    <row r="18" spans="1:10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</row>
    <row r="19" spans="1:10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1" spans="1:10" x14ac:dyDescent="0.2">
      <c r="G21" s="32"/>
    </row>
    <row r="22" spans="1:10" x14ac:dyDescent="0.2">
      <c r="G22" s="32"/>
    </row>
    <row r="23" spans="1:10" x14ac:dyDescent="0.2">
      <c r="G23" s="32"/>
    </row>
    <row r="24" spans="1:10" x14ac:dyDescent="0.2">
      <c r="G24" s="32"/>
    </row>
    <row r="25" spans="1:10" x14ac:dyDescent="0.2">
      <c r="A25" s="32"/>
      <c r="B25" s="32"/>
      <c r="C25" s="32"/>
      <c r="D25" s="32"/>
      <c r="E25" s="32"/>
      <c r="F25" s="32"/>
      <c r="G25" s="32"/>
    </row>
    <row r="26" spans="1:10" x14ac:dyDescent="0.2">
      <c r="A26" s="32"/>
      <c r="B26" s="32"/>
      <c r="C26" s="32"/>
      <c r="D26" s="32"/>
      <c r="E26" s="32"/>
      <c r="F26" s="32"/>
      <c r="G26" s="32"/>
    </row>
  </sheetData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J33"/>
  <sheetViews>
    <sheetView showGridLines="0" zoomScaleNormal="100" workbookViewId="0">
      <selection activeCell="G9" sqref="G9"/>
    </sheetView>
  </sheetViews>
  <sheetFormatPr defaultRowHeight="12.75" x14ac:dyDescent="0.2"/>
  <cols>
    <col min="1" max="1" width="17.625" style="78" customWidth="1"/>
    <col min="2" max="4" width="15.875" style="78" customWidth="1"/>
    <col min="5" max="5" width="9" style="78"/>
    <col min="6" max="6" width="10" style="78" customWidth="1"/>
    <col min="7" max="16384" width="9" style="78"/>
  </cols>
  <sheetData>
    <row r="1" spans="1:10" ht="18.75" x14ac:dyDescent="0.3">
      <c r="A1" s="106" t="s">
        <v>75</v>
      </c>
      <c r="B1" s="4"/>
      <c r="C1" s="4"/>
      <c r="D1" s="4"/>
      <c r="E1" s="4"/>
      <c r="F1" s="4"/>
      <c r="G1" s="4"/>
      <c r="H1" s="4"/>
      <c r="I1" s="4"/>
      <c r="J1" s="4"/>
    </row>
    <row r="2" spans="1:10" ht="16.5" thickBot="1" x14ac:dyDescent="0.3">
      <c r="A2" s="75" t="s">
        <v>56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6.5" thickTop="1" x14ac:dyDescent="0.25">
      <c r="A3" s="105"/>
      <c r="B3" s="32"/>
      <c r="C3" s="32"/>
      <c r="D3" s="32"/>
      <c r="E3" s="32"/>
      <c r="F3" s="32"/>
      <c r="G3" s="32"/>
      <c r="H3" s="32"/>
      <c r="I3" s="32"/>
      <c r="J3" s="32"/>
    </row>
    <row r="4" spans="1:10" ht="24" x14ac:dyDescent="0.2">
      <c r="A4" s="2" t="s">
        <v>5</v>
      </c>
      <c r="B4" s="3" t="s">
        <v>6</v>
      </c>
      <c r="C4" s="3" t="s">
        <v>9</v>
      </c>
      <c r="D4" s="80" t="s">
        <v>10</v>
      </c>
      <c r="F4" s="79"/>
    </row>
    <row r="5" spans="1:10" x14ac:dyDescent="0.2">
      <c r="A5" s="81" t="s">
        <v>58</v>
      </c>
      <c r="B5" s="82">
        <f>INDEX(Option_evaluation!$D$42:$H$42, MATCH(A5, Option_evaluation!$D$36:$H$36,0))/1000</f>
        <v>1137.7952348056872</v>
      </c>
      <c r="C5" s="82">
        <f>Option_evaluation!$C$30/1000</f>
        <v>1480.6415244841803</v>
      </c>
      <c r="D5" s="83" t="str">
        <f>IF(B5&lt;=C5, "Yes", "No")</f>
        <v>Yes</v>
      </c>
    </row>
    <row r="6" spans="1:10" x14ac:dyDescent="0.2">
      <c r="A6" s="81" t="s">
        <v>60</v>
      </c>
      <c r="B6" s="82">
        <f>INDEX(Option_evaluation!$D$42:$H$42, MATCH(A6, Option_evaluation!$D$36:$H$36,0))/1000</f>
        <v>1172.5370740363951</v>
      </c>
      <c r="C6" s="82">
        <f>Option_evaluation!$C$30/1000</f>
        <v>1480.6415244841803</v>
      </c>
      <c r="D6" s="83" t="str">
        <f t="shared" ref="D6:D8" si="0">IF(B6&lt;=C6, "Yes", "No")</f>
        <v>Yes</v>
      </c>
    </row>
    <row r="7" spans="1:10" x14ac:dyDescent="0.2">
      <c r="A7" s="81" t="s">
        <v>61</v>
      </c>
      <c r="B7" s="82">
        <f>INDEX(Option_evaluation!$D$42:$H$42, MATCH(A7, Option_evaluation!$D$36:$H$36,0))/1000</f>
        <v>1537.3263859588292</v>
      </c>
      <c r="C7" s="82">
        <f>Option_evaluation!$C$30/1000</f>
        <v>1480.6415244841803</v>
      </c>
      <c r="D7" s="83" t="str">
        <f t="shared" si="0"/>
        <v>No</v>
      </c>
    </row>
    <row r="8" spans="1:10" x14ac:dyDescent="0.2">
      <c r="A8" s="81" t="s">
        <v>62</v>
      </c>
      <c r="B8" s="82">
        <f>INDEX(Option_evaluation!$D$42:$H$42, MATCH(A8, Option_evaluation!$D$36:$H$36,0))/1000</f>
        <v>1893.4302380735862</v>
      </c>
      <c r="C8" s="82">
        <f>Option_evaluation!$C$30/1000</f>
        <v>1480.6415244841803</v>
      </c>
      <c r="D8" s="83" t="str">
        <f t="shared" si="0"/>
        <v>No</v>
      </c>
    </row>
    <row r="9" spans="1:10" x14ac:dyDescent="0.2">
      <c r="A9" s="81" t="s">
        <v>63</v>
      </c>
      <c r="B9" s="84">
        <f>INDEX(Option_evaluation!$D$42:$I$42, MATCH(A9, Option_evaluation!$D$36:$I$36,0))/1000</f>
        <v>2223.4777107653126</v>
      </c>
      <c r="C9" s="84">
        <f>Option_evaluation!$C$30/1000</f>
        <v>1480.6415244841803</v>
      </c>
      <c r="D9" s="83" t="str">
        <f t="shared" ref="D9" si="1">IF(B9&lt;=C9, "Yes", "No")</f>
        <v>No</v>
      </c>
    </row>
    <row r="10" spans="1:10" x14ac:dyDescent="0.2">
      <c r="A10" s="85"/>
      <c r="B10" s="85"/>
      <c r="C10" s="85"/>
      <c r="D10" s="85"/>
    </row>
    <row r="13" spans="1:10" ht="24" x14ac:dyDescent="0.2">
      <c r="A13" s="2" t="s">
        <v>71</v>
      </c>
      <c r="B13" s="3" t="s">
        <v>72</v>
      </c>
      <c r="C13" s="3" t="s">
        <v>11</v>
      </c>
      <c r="D13" s="3" t="s">
        <v>7</v>
      </c>
    </row>
    <row r="14" spans="1:10" x14ac:dyDescent="0.2">
      <c r="A14" s="88" t="s">
        <v>58</v>
      </c>
      <c r="B14" s="82">
        <f>INDEX(Option_evaluation!$D$43:$I$43, MATCH(A14, Option_evaluation!$D$36:$I$36,0))/1000</f>
        <v>1137.7952348056872</v>
      </c>
      <c r="C14" s="98">
        <f>262763/1000</f>
        <v>262.76299999999998</v>
      </c>
      <c r="D14" s="84">
        <f>B14-C14</f>
        <v>875.03223480568727</v>
      </c>
    </row>
    <row r="15" spans="1:10" x14ac:dyDescent="0.2">
      <c r="A15" s="88" t="s">
        <v>60</v>
      </c>
      <c r="B15" s="82">
        <f>INDEX(Option_evaluation!$D$43:$I$43, MATCH(A15, Option_evaluation!$D$36:$I$36,0))/1000</f>
        <v>1172.5370740363951</v>
      </c>
      <c r="C15" s="98">
        <f t="shared" ref="C15:C18" si="2">262763/1000</f>
        <v>262.76299999999998</v>
      </c>
      <c r="D15" s="84">
        <f t="shared" ref="D15:D17" si="3">B15-C15</f>
        <v>909.77407403639518</v>
      </c>
    </row>
    <row r="16" spans="1:10" x14ac:dyDescent="0.2">
      <c r="A16" s="88" t="s">
        <v>61</v>
      </c>
      <c r="B16" s="82">
        <f>INDEX(Option_evaluation!$D$43:$I$43, MATCH(A16, Option_evaluation!$D$36:$I$36,0))/1000</f>
        <v>1480.6415244841803</v>
      </c>
      <c r="C16" s="98">
        <f t="shared" si="2"/>
        <v>262.76299999999998</v>
      </c>
      <c r="D16" s="84">
        <f t="shared" si="3"/>
        <v>1217.8785244841804</v>
      </c>
    </row>
    <row r="17" spans="1:10" x14ac:dyDescent="0.2">
      <c r="A17" s="88" t="s">
        <v>62</v>
      </c>
      <c r="B17" s="82">
        <f>INDEX(Option_evaluation!$D$43:$I$43, MATCH(A17, Option_evaluation!$D$36:$I$36,0))/1000</f>
        <v>1480.6415244841803</v>
      </c>
      <c r="C17" s="98">
        <f t="shared" si="2"/>
        <v>262.76299999999998</v>
      </c>
      <c r="D17" s="84">
        <f t="shared" si="3"/>
        <v>1217.8785244841804</v>
      </c>
    </row>
    <row r="18" spans="1:10" x14ac:dyDescent="0.2">
      <c r="A18" s="88" t="s">
        <v>63</v>
      </c>
      <c r="B18" s="82">
        <f>INDEX(Option_evaluation!$D$43:$I$43, MATCH(A18, Option_evaluation!$D$36:$I$36,0))/1000</f>
        <v>1480.6415244841803</v>
      </c>
      <c r="C18" s="98">
        <f t="shared" si="2"/>
        <v>262.76299999999998</v>
      </c>
      <c r="D18" s="84">
        <f t="shared" ref="D18" si="4">B18-C18</f>
        <v>1217.8785244841804</v>
      </c>
    </row>
    <row r="19" spans="1:10" x14ac:dyDescent="0.2">
      <c r="A19" s="99" t="s">
        <v>8</v>
      </c>
      <c r="B19" s="100"/>
      <c r="C19" s="101"/>
      <c r="D19" s="100">
        <f>SUM(D14:D18)</f>
        <v>5438.4418822946236</v>
      </c>
    </row>
    <row r="23" spans="1:10" ht="13.5" thickBot="1" x14ac:dyDescent="0.25">
      <c r="A23" s="1"/>
      <c r="B23" s="109" t="s">
        <v>13</v>
      </c>
      <c r="C23" s="109"/>
      <c r="D23" s="109"/>
      <c r="E23" s="110"/>
      <c r="F23" s="107" t="s">
        <v>14</v>
      </c>
      <c r="G23" s="108"/>
      <c r="H23" s="108"/>
      <c r="I23" s="108"/>
      <c r="J23" s="108"/>
    </row>
    <row r="24" spans="1:10" ht="13.5" thickBot="1" x14ac:dyDescent="0.25">
      <c r="A24" s="1"/>
      <c r="B24" s="55">
        <v>2018</v>
      </c>
      <c r="C24" s="55">
        <v>2019</v>
      </c>
      <c r="D24" s="55">
        <v>2020</v>
      </c>
      <c r="E24" s="56">
        <v>2021</v>
      </c>
      <c r="F24" s="55">
        <v>2022</v>
      </c>
      <c r="G24" s="55">
        <v>2023</v>
      </c>
      <c r="H24" s="55">
        <v>2024</v>
      </c>
      <c r="I24" s="55">
        <v>2025</v>
      </c>
      <c r="J24" s="55">
        <v>2026</v>
      </c>
    </row>
    <row r="25" spans="1:10" ht="24.75" thickBot="1" x14ac:dyDescent="0.25">
      <c r="A25" s="97" t="s">
        <v>12</v>
      </c>
      <c r="B25" s="86">
        <v>11.5</v>
      </c>
      <c r="C25" s="86">
        <v>12.2</v>
      </c>
      <c r="D25" s="86">
        <v>13.1</v>
      </c>
      <c r="E25" s="87">
        <v>13.1</v>
      </c>
      <c r="F25" s="86">
        <f>Option_evaluation!E37</f>
        <v>13.1</v>
      </c>
      <c r="G25" s="86">
        <f>Option_evaluation!F37</f>
        <v>13.5</v>
      </c>
      <c r="H25" s="86">
        <f>Option_evaluation!G37</f>
        <v>17.7</v>
      </c>
      <c r="I25" s="86">
        <f>Option_evaluation!H37</f>
        <v>21.8</v>
      </c>
      <c r="J25" s="86">
        <f>Option_evaluation!I37</f>
        <v>25.6</v>
      </c>
    </row>
    <row r="29" spans="1:10" ht="24" x14ac:dyDescent="0.2">
      <c r="A29" s="102" t="s">
        <v>73</v>
      </c>
      <c r="B29" s="103" t="s">
        <v>74</v>
      </c>
      <c r="C29" s="104" t="s">
        <v>21</v>
      </c>
      <c r="D29" s="104" t="s">
        <v>22</v>
      </c>
      <c r="E29" s="104" t="s">
        <v>15</v>
      </c>
      <c r="F29" s="104" t="s">
        <v>23</v>
      </c>
    </row>
    <row r="30" spans="1:10" x14ac:dyDescent="0.2">
      <c r="A30" s="89" t="s">
        <v>24</v>
      </c>
      <c r="B30" s="89" t="s">
        <v>25</v>
      </c>
      <c r="C30" s="90">
        <f>'DM cost'!C7/1000</f>
        <v>136.72905024864968</v>
      </c>
      <c r="D30" s="90">
        <f>C30</f>
        <v>136.72905024864968</v>
      </c>
      <c r="E30" s="91">
        <f>'DM cost'!B7*'DM cost'!D7*'DM cost'!E7/(SUMPRODUCT('DM cost'!B7:B8,'DM cost'!D7:D8,'DM cost'!E7:E8))</f>
        <v>0.17964268114963089</v>
      </c>
      <c r="F30" s="90">
        <f>C30*E30</f>
        <v>24.562373177710036</v>
      </c>
    </row>
    <row r="31" spans="1:10" ht="24" x14ac:dyDescent="0.2">
      <c r="A31" s="92" t="s">
        <v>26</v>
      </c>
      <c r="B31" s="92" t="s">
        <v>16</v>
      </c>
      <c r="C31" s="93">
        <v>67.525000000000006</v>
      </c>
      <c r="D31" s="93"/>
      <c r="E31" s="94"/>
      <c r="F31" s="93"/>
    </row>
    <row r="32" spans="1:10" x14ac:dyDescent="0.2">
      <c r="A32" s="92"/>
      <c r="B32" s="92" t="s">
        <v>17</v>
      </c>
      <c r="C32" s="93">
        <v>81.25</v>
      </c>
      <c r="D32" s="93">
        <f>AVERAGE(C31:C32)</f>
        <v>74.387500000000003</v>
      </c>
      <c r="E32" s="94">
        <f>1-E30</f>
        <v>0.82035731885036911</v>
      </c>
      <c r="F32" s="93">
        <f>D32*E32</f>
        <v>61.024330055981835</v>
      </c>
    </row>
    <row r="33" spans="1:6" x14ac:dyDescent="0.2">
      <c r="A33" s="95" t="s">
        <v>27</v>
      </c>
      <c r="B33" s="95"/>
      <c r="C33" s="96"/>
      <c r="D33" s="96"/>
      <c r="E33" s="96"/>
      <c r="F33" s="96">
        <f>SUM(F30:F32)</f>
        <v>85.586703233691878</v>
      </c>
    </row>
  </sheetData>
  <mergeCells count="2">
    <mergeCell ref="F23:J23"/>
    <mergeCell ref="B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Option_evaluation</vt:lpstr>
      <vt:lpstr>Output_Opex</vt:lpstr>
      <vt:lpstr>DM cost</vt:lpstr>
      <vt:lpstr>Tables</vt:lpstr>
      <vt:lpstr>'DM cost'!Print_Area</vt:lpstr>
      <vt:lpstr>Option_evaluation!Print_Area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2019-12-03T23:17:03Z</dcterms:created>
  <dcterms:modified xsi:type="dcterms:W3CDTF">2020-01-29T03:38:24Z</dcterms:modified>
</cp:coreProperties>
</file>