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gulation\04. AIMRO\04.28. 2014 and 2015 Cost Overrun Application\"/>
    </mc:Choice>
  </mc:AlternateContent>
  <bookViews>
    <workbookView xWindow="-15" yWindow="6135" windowWidth="25260" windowHeight="6195" tabRatio="882" firstSheet="2" activeTab="11"/>
  </bookViews>
  <sheets>
    <sheet name="AMI Charges Applications Data" sheetId="19" state="hidden" r:id="rId1"/>
    <sheet name="2014 Benchmarking" sheetId="20" state="hidden" r:id="rId2"/>
    <sheet name="Benchmarking" sheetId="33" r:id="rId3"/>
    <sheet name="Capex" sheetId="23" r:id="rId4"/>
    <sheet name="Opex" sheetId="24" r:id="rId5"/>
    <sheet name="Quantities" sheetId="26" r:id="rId6"/>
    <sheet name="Recovery" sheetId="29" r:id="rId7"/>
    <sheet name="Charges" sheetId="28" r:id="rId8"/>
    <sheet name="Capex (2)" sheetId="30" r:id="rId9"/>
    <sheet name="Opex (2)" sheetId="31" r:id="rId10"/>
    <sheet name="Charts - Capex" sheetId="34" r:id="rId11"/>
    <sheet name="Charts - Opex" sheetId="37" r:id="rId12"/>
    <sheet name="Charts - Recovery" sheetId="38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calcPr calcId="152511"/>
</workbook>
</file>

<file path=xl/calcChain.xml><?xml version="1.0" encoding="utf-8"?>
<calcChain xmlns="http://schemas.openxmlformats.org/spreadsheetml/2006/main">
  <c r="M37" i="24" l="1"/>
  <c r="K16" i="23" l="1"/>
  <c r="K13" i="23"/>
  <c r="L130" i="24" l="1"/>
  <c r="K49" i="23" l="1"/>
  <c r="K53" i="23"/>
  <c r="L53" i="23"/>
  <c r="M53" i="23"/>
  <c r="G53" i="23"/>
  <c r="H53" i="23"/>
  <c r="I53" i="23"/>
  <c r="J53" i="23"/>
  <c r="K61" i="23" l="1"/>
  <c r="K29" i="23" l="1"/>
  <c r="L29" i="23"/>
  <c r="K41" i="23" l="1"/>
  <c r="K40" i="23"/>
  <c r="F80" i="33" l="1"/>
  <c r="F47" i="33" l="1"/>
  <c r="J47" i="33" s="1"/>
  <c r="H102" i="33"/>
  <c r="F102" i="33"/>
  <c r="D102" i="33"/>
  <c r="D113" i="33" s="1"/>
  <c r="F58" i="33"/>
  <c r="D58" i="33"/>
  <c r="F69" i="33" l="1"/>
  <c r="J102" i="33"/>
  <c r="J58" i="33" l="1"/>
  <c r="K6" i="28" l="1"/>
  <c r="K27" i="29" s="1"/>
  <c r="L6" i="28"/>
  <c r="L27" i="29" s="1"/>
  <c r="D27" i="29"/>
  <c r="E27" i="29"/>
  <c r="D28" i="29"/>
  <c r="E28" i="29"/>
  <c r="D29" i="29"/>
  <c r="E29" i="29"/>
  <c r="D30" i="29"/>
  <c r="E30" i="29"/>
  <c r="D31" i="29"/>
  <c r="E31" i="29"/>
  <c r="C28" i="29"/>
  <c r="C29" i="29"/>
  <c r="C30" i="29"/>
  <c r="C31" i="29"/>
  <c r="C27" i="29"/>
  <c r="L10" i="29"/>
  <c r="K10" i="29"/>
  <c r="J10" i="29"/>
  <c r="I10" i="29"/>
  <c r="H10" i="29"/>
  <c r="G10" i="29"/>
  <c r="F10" i="29"/>
  <c r="E10" i="29"/>
  <c r="D10" i="29"/>
  <c r="C10" i="29"/>
  <c r="C11" i="29" s="1"/>
  <c r="C13" i="29" s="1"/>
  <c r="C58" i="29" l="1"/>
  <c r="C67" i="29" s="1"/>
  <c r="C49" i="29"/>
  <c r="C54" i="29"/>
  <c r="C63" i="29" s="1"/>
  <c r="C55" i="29"/>
  <c r="C64" i="29" s="1"/>
  <c r="C46" i="29"/>
  <c r="C57" i="29"/>
  <c r="C48" i="29"/>
  <c r="C56" i="29"/>
  <c r="C65" i="29" s="1"/>
  <c r="C47" i="29"/>
  <c r="C66" i="29" l="1"/>
  <c r="M161" i="31" l="1"/>
  <c r="L161" i="31"/>
  <c r="K161" i="31"/>
  <c r="J161" i="31"/>
  <c r="I161" i="31"/>
  <c r="H161" i="31"/>
  <c r="G161" i="31"/>
  <c r="F161" i="31"/>
  <c r="E161" i="31"/>
  <c r="D161" i="31"/>
  <c r="F159" i="31"/>
  <c r="E159" i="31"/>
  <c r="D159" i="31"/>
  <c r="F158" i="31"/>
  <c r="E158" i="31"/>
  <c r="D158" i="31"/>
  <c r="F157" i="31"/>
  <c r="E157" i="31"/>
  <c r="D157" i="31"/>
  <c r="F156" i="31"/>
  <c r="E156" i="31"/>
  <c r="D156" i="31"/>
  <c r="F153" i="31"/>
  <c r="E153" i="31"/>
  <c r="D153" i="31"/>
  <c r="F152" i="31"/>
  <c r="E152" i="31"/>
  <c r="D152" i="31"/>
  <c r="F151" i="31"/>
  <c r="E151" i="31"/>
  <c r="D151" i="31"/>
  <c r="F144" i="31"/>
  <c r="E144" i="31"/>
  <c r="D144" i="31"/>
  <c r="F143" i="31"/>
  <c r="E143" i="31"/>
  <c r="D143" i="31"/>
  <c r="F142" i="31"/>
  <c r="E142" i="31"/>
  <c r="D142" i="31"/>
  <c r="F141" i="31"/>
  <c r="E141" i="31"/>
  <c r="D141" i="31"/>
  <c r="F140" i="31"/>
  <c r="E140" i="31"/>
  <c r="D140" i="31"/>
  <c r="F139" i="31"/>
  <c r="E139" i="31"/>
  <c r="D139" i="31"/>
  <c r="F138" i="31"/>
  <c r="E138" i="31"/>
  <c r="D138" i="31"/>
  <c r="F137" i="31"/>
  <c r="E137" i="31"/>
  <c r="D137" i="31"/>
  <c r="F136" i="31"/>
  <c r="E136" i="31"/>
  <c r="D136" i="31"/>
  <c r="F135" i="31"/>
  <c r="E135" i="31"/>
  <c r="D135" i="31"/>
  <c r="M130" i="31"/>
  <c r="L130" i="31"/>
  <c r="K130" i="31"/>
  <c r="J130" i="31"/>
  <c r="I130" i="31"/>
  <c r="H130" i="31"/>
  <c r="G130" i="31"/>
  <c r="F130" i="31"/>
  <c r="E130" i="31"/>
  <c r="D130" i="31"/>
  <c r="F128" i="31"/>
  <c r="E128" i="31"/>
  <c r="D128" i="31"/>
  <c r="F127" i="31"/>
  <c r="E127" i="31"/>
  <c r="D127" i="31"/>
  <c r="F126" i="31"/>
  <c r="E126" i="31"/>
  <c r="D126" i="31"/>
  <c r="F125" i="31"/>
  <c r="E125" i="31"/>
  <c r="D125" i="31"/>
  <c r="F122" i="31"/>
  <c r="E122" i="31"/>
  <c r="D122" i="31"/>
  <c r="F121" i="31"/>
  <c r="E121" i="31"/>
  <c r="D121" i="31"/>
  <c r="F120" i="31"/>
  <c r="E120" i="31"/>
  <c r="D120" i="31"/>
  <c r="F113" i="31"/>
  <c r="E113" i="31"/>
  <c r="D113" i="31"/>
  <c r="F112" i="31"/>
  <c r="E112" i="31"/>
  <c r="D112" i="31"/>
  <c r="F111" i="31"/>
  <c r="E111" i="31"/>
  <c r="D111" i="31"/>
  <c r="F110" i="31"/>
  <c r="E110" i="31"/>
  <c r="D110" i="31"/>
  <c r="F109" i="31"/>
  <c r="E109" i="31"/>
  <c r="D109" i="31"/>
  <c r="F108" i="31"/>
  <c r="E108" i="31"/>
  <c r="D108" i="31"/>
  <c r="F107" i="31"/>
  <c r="E107" i="31"/>
  <c r="D107" i="31"/>
  <c r="F106" i="31"/>
  <c r="E106" i="31"/>
  <c r="D106" i="31"/>
  <c r="F105" i="31"/>
  <c r="E105" i="31"/>
  <c r="D105" i="31"/>
  <c r="F104" i="31"/>
  <c r="E104" i="31"/>
  <c r="D104" i="31"/>
  <c r="M99" i="31"/>
  <c r="L99" i="31"/>
  <c r="K99" i="31"/>
  <c r="J99" i="31"/>
  <c r="I99" i="31"/>
  <c r="H99" i="31"/>
  <c r="G99" i="31"/>
  <c r="F99" i="31"/>
  <c r="E99" i="31"/>
  <c r="D99" i="31"/>
  <c r="F98" i="31"/>
  <c r="E98" i="31"/>
  <c r="D98" i="31"/>
  <c r="F97" i="31"/>
  <c r="E97" i="31"/>
  <c r="D97" i="31"/>
  <c r="F96" i="31"/>
  <c r="E96" i="31"/>
  <c r="D96" i="31"/>
  <c r="F95" i="31"/>
  <c r="E95" i="31"/>
  <c r="D95" i="31"/>
  <c r="F94" i="31"/>
  <c r="E94" i="31"/>
  <c r="D94" i="31"/>
  <c r="B93" i="31"/>
  <c r="B124" i="31" s="1"/>
  <c r="B155" i="31" s="1"/>
  <c r="F91" i="31"/>
  <c r="E91" i="31"/>
  <c r="D91" i="31"/>
  <c r="F90" i="31"/>
  <c r="E90" i="31"/>
  <c r="D90" i="31"/>
  <c r="F89" i="31"/>
  <c r="E89" i="31"/>
  <c r="D89" i="31"/>
  <c r="F82" i="31"/>
  <c r="E82" i="31"/>
  <c r="D82" i="31"/>
  <c r="F81" i="31"/>
  <c r="E81" i="31"/>
  <c r="D81" i="31"/>
  <c r="F80" i="31"/>
  <c r="E80" i="31"/>
  <c r="D80" i="31"/>
  <c r="F79" i="31"/>
  <c r="E79" i="31"/>
  <c r="D79" i="31"/>
  <c r="F78" i="31"/>
  <c r="E78" i="31"/>
  <c r="D78" i="31"/>
  <c r="F77" i="31"/>
  <c r="E77" i="31"/>
  <c r="D77" i="31"/>
  <c r="F76" i="31"/>
  <c r="E76" i="31"/>
  <c r="D76" i="31"/>
  <c r="F75" i="31"/>
  <c r="E75" i="31"/>
  <c r="D75" i="31"/>
  <c r="F74" i="31"/>
  <c r="E74" i="31"/>
  <c r="D74" i="31"/>
  <c r="F73" i="31"/>
  <c r="E73" i="31"/>
  <c r="D73" i="31"/>
  <c r="M68" i="31"/>
  <c r="L68" i="31"/>
  <c r="K68" i="31"/>
  <c r="J68" i="31"/>
  <c r="I68" i="31"/>
  <c r="H68" i="31"/>
  <c r="G68" i="31"/>
  <c r="F68" i="31"/>
  <c r="E68" i="31"/>
  <c r="D68" i="31"/>
  <c r="B68" i="31"/>
  <c r="B99" i="31" s="1"/>
  <c r="B130" i="31" s="1"/>
  <c r="B161" i="31" s="1"/>
  <c r="F67" i="31"/>
  <c r="E67" i="31"/>
  <c r="D67" i="31"/>
  <c r="B67" i="31"/>
  <c r="B98" i="31" s="1"/>
  <c r="B129" i="31" s="1"/>
  <c r="F66" i="31"/>
  <c r="E66" i="31"/>
  <c r="D66" i="31"/>
  <c r="B66" i="31"/>
  <c r="B97" i="31" s="1"/>
  <c r="B128" i="31" s="1"/>
  <c r="B159" i="31" s="1"/>
  <c r="F65" i="31"/>
  <c r="E65" i="31"/>
  <c r="D65" i="31"/>
  <c r="B65" i="31"/>
  <c r="B96" i="31" s="1"/>
  <c r="B127" i="31" s="1"/>
  <c r="B158" i="31" s="1"/>
  <c r="F64" i="31"/>
  <c r="E64" i="31"/>
  <c r="D64" i="31"/>
  <c r="B64" i="31"/>
  <c r="B95" i="31" s="1"/>
  <c r="B126" i="31" s="1"/>
  <c r="B157" i="31" s="1"/>
  <c r="F63" i="31"/>
  <c r="E63" i="31"/>
  <c r="D63" i="31"/>
  <c r="B63" i="31"/>
  <c r="B94" i="31" s="1"/>
  <c r="B125" i="31" s="1"/>
  <c r="B156" i="31" s="1"/>
  <c r="F62" i="31"/>
  <c r="E62" i="31"/>
  <c r="D62" i="31"/>
  <c r="B62" i="31"/>
  <c r="F61" i="31"/>
  <c r="E61" i="31"/>
  <c r="D61" i="31"/>
  <c r="B61" i="31"/>
  <c r="B92" i="31" s="1"/>
  <c r="B123" i="31" s="1"/>
  <c r="F60" i="31"/>
  <c r="E60" i="31"/>
  <c r="D60" i="31"/>
  <c r="B60" i="31"/>
  <c r="B91" i="31" s="1"/>
  <c r="B122" i="31" s="1"/>
  <c r="B153" i="31" s="1"/>
  <c r="F59" i="31"/>
  <c r="E59" i="31"/>
  <c r="D59" i="31"/>
  <c r="B59" i="31"/>
  <c r="B90" i="31" s="1"/>
  <c r="B121" i="31" s="1"/>
  <c r="B152" i="31" s="1"/>
  <c r="F58" i="31"/>
  <c r="E58" i="31"/>
  <c r="D58" i="31"/>
  <c r="B58" i="31"/>
  <c r="B89" i="31" s="1"/>
  <c r="B120" i="31" s="1"/>
  <c r="B151" i="31" s="1"/>
  <c r="B57" i="31"/>
  <c r="B88" i="31" s="1"/>
  <c r="B119" i="31" s="1"/>
  <c r="B150" i="31" s="1"/>
  <c r="B56" i="31"/>
  <c r="B87" i="31" s="1"/>
  <c r="B118" i="31" s="1"/>
  <c r="B55" i="31"/>
  <c r="B86" i="31" s="1"/>
  <c r="B117" i="31" s="1"/>
  <c r="B148" i="31" s="1"/>
  <c r="B54" i="31"/>
  <c r="B85" i="31" s="1"/>
  <c r="B116" i="31" s="1"/>
  <c r="B53" i="31"/>
  <c r="B84" i="31" s="1"/>
  <c r="B115" i="31" s="1"/>
  <c r="B146" i="31" s="1"/>
  <c r="F51" i="31"/>
  <c r="E51" i="31"/>
  <c r="D51" i="31"/>
  <c r="B51" i="31"/>
  <c r="B82" i="31" s="1"/>
  <c r="B113" i="31" s="1"/>
  <c r="B144" i="31" s="1"/>
  <c r="F50" i="31"/>
  <c r="E50" i="31"/>
  <c r="D50" i="31"/>
  <c r="B50" i="31"/>
  <c r="B81" i="31" s="1"/>
  <c r="B112" i="31" s="1"/>
  <c r="B143" i="31" s="1"/>
  <c r="F49" i="31"/>
  <c r="E49" i="31"/>
  <c r="D49" i="31"/>
  <c r="B49" i="31"/>
  <c r="B80" i="31" s="1"/>
  <c r="B111" i="31" s="1"/>
  <c r="B142" i="31" s="1"/>
  <c r="F48" i="31"/>
  <c r="E48" i="31"/>
  <c r="D48" i="31"/>
  <c r="B48" i="31"/>
  <c r="B79" i="31" s="1"/>
  <c r="B110" i="31" s="1"/>
  <c r="B141" i="31" s="1"/>
  <c r="F47" i="31"/>
  <c r="E47" i="31"/>
  <c r="D47" i="31"/>
  <c r="B47" i="31"/>
  <c r="B78" i="31" s="1"/>
  <c r="B109" i="31" s="1"/>
  <c r="B140" i="31" s="1"/>
  <c r="F46" i="31"/>
  <c r="E46" i="31"/>
  <c r="D46" i="31"/>
  <c r="B46" i="31"/>
  <c r="B77" i="31" s="1"/>
  <c r="B108" i="31" s="1"/>
  <c r="B139" i="31" s="1"/>
  <c r="F45" i="31"/>
  <c r="E45" i="31"/>
  <c r="D45" i="31"/>
  <c r="B45" i="31"/>
  <c r="B76" i="31" s="1"/>
  <c r="B107" i="31" s="1"/>
  <c r="B138" i="31" s="1"/>
  <c r="F44" i="31"/>
  <c r="E44" i="31"/>
  <c r="D44" i="31"/>
  <c r="B44" i="31"/>
  <c r="B75" i="31" s="1"/>
  <c r="B106" i="31" s="1"/>
  <c r="B137" i="31" s="1"/>
  <c r="F43" i="31"/>
  <c r="E43" i="31"/>
  <c r="D43" i="31"/>
  <c r="B43" i="31"/>
  <c r="B74" i="31" s="1"/>
  <c r="B105" i="31" s="1"/>
  <c r="B136" i="31" s="1"/>
  <c r="F42" i="31"/>
  <c r="F53" i="31" s="1"/>
  <c r="E42" i="31"/>
  <c r="E53" i="31" s="1"/>
  <c r="D42" i="31"/>
  <c r="D53" i="31" s="1"/>
  <c r="B42" i="31"/>
  <c r="B73" i="31" s="1"/>
  <c r="B104" i="31" s="1"/>
  <c r="B135" i="31" s="1"/>
  <c r="N41" i="31"/>
  <c r="B40" i="31"/>
  <c r="B71" i="31" s="1"/>
  <c r="B102" i="31" s="1"/>
  <c r="B133" i="31" s="1"/>
  <c r="M37" i="31"/>
  <c r="L37" i="31"/>
  <c r="K37" i="31"/>
  <c r="J37" i="31"/>
  <c r="I37" i="31"/>
  <c r="H37" i="31"/>
  <c r="G37" i="31"/>
  <c r="F37" i="31"/>
  <c r="E37" i="31"/>
  <c r="D37" i="31"/>
  <c r="F36" i="31"/>
  <c r="E36" i="31"/>
  <c r="D36" i="31"/>
  <c r="F35" i="31"/>
  <c r="E35" i="31"/>
  <c r="D35" i="31"/>
  <c r="F34" i="31"/>
  <c r="E34" i="31"/>
  <c r="D34" i="31"/>
  <c r="F33" i="31"/>
  <c r="E33" i="31"/>
  <c r="D33" i="31"/>
  <c r="F32" i="31"/>
  <c r="E32" i="31"/>
  <c r="D32" i="31"/>
  <c r="F31" i="31"/>
  <c r="E31" i="31"/>
  <c r="D31" i="31"/>
  <c r="F30" i="31"/>
  <c r="E30" i="31"/>
  <c r="D30" i="31"/>
  <c r="F29" i="31"/>
  <c r="E29" i="31"/>
  <c r="D29" i="31"/>
  <c r="F28" i="31"/>
  <c r="E28" i="31"/>
  <c r="D28" i="31"/>
  <c r="F27" i="31"/>
  <c r="E27" i="31"/>
  <c r="D27" i="31"/>
  <c r="F19" i="31"/>
  <c r="E19" i="31"/>
  <c r="D19" i="31"/>
  <c r="F18" i="31"/>
  <c r="E18" i="31"/>
  <c r="D18" i="31"/>
  <c r="F17" i="31"/>
  <c r="E17" i="31"/>
  <c r="D17" i="31"/>
  <c r="F16" i="31"/>
  <c r="E16" i="31"/>
  <c r="D16" i="31"/>
  <c r="F15" i="31"/>
  <c r="E15" i="31"/>
  <c r="D15" i="31"/>
  <c r="F14" i="31"/>
  <c r="E14" i="31"/>
  <c r="D14" i="31"/>
  <c r="F13" i="31"/>
  <c r="E13" i="31"/>
  <c r="D13" i="31"/>
  <c r="F12" i="31"/>
  <c r="E12" i="31"/>
  <c r="D12" i="31"/>
  <c r="F11" i="31"/>
  <c r="E11" i="31"/>
  <c r="D11" i="31"/>
  <c r="N10" i="31"/>
  <c r="E7" i="31"/>
  <c r="F7" i="31" s="1"/>
  <c r="G7" i="31" s="1"/>
  <c r="H7" i="31" s="1"/>
  <c r="I7" i="31" s="1"/>
  <c r="J7" i="31" s="1"/>
  <c r="K7" i="31" s="1"/>
  <c r="L7" i="31" s="1"/>
  <c r="M7" i="31" s="1"/>
  <c r="M3" i="31"/>
  <c r="L3" i="31"/>
  <c r="K3" i="31"/>
  <c r="J3" i="31"/>
  <c r="I3" i="31"/>
  <c r="H3" i="31"/>
  <c r="G3" i="31"/>
  <c r="G4" i="31" s="1"/>
  <c r="F3" i="31"/>
  <c r="E4" i="31" s="1"/>
  <c r="E3" i="31"/>
  <c r="B3" i="31"/>
  <c r="M2" i="31"/>
  <c r="L2" i="31"/>
  <c r="K2" i="31"/>
  <c r="J2" i="31"/>
  <c r="I2" i="31"/>
  <c r="H2" i="31"/>
  <c r="G2" i="31"/>
  <c r="F2" i="31"/>
  <c r="E2" i="31"/>
  <c r="K65" i="30"/>
  <c r="J65" i="30"/>
  <c r="I65" i="30"/>
  <c r="H65" i="30"/>
  <c r="G22" i="29" s="1"/>
  <c r="G65" i="30"/>
  <c r="F65" i="30"/>
  <c r="E65" i="30"/>
  <c r="D65" i="30"/>
  <c r="K64" i="30"/>
  <c r="J64" i="30"/>
  <c r="I64" i="30"/>
  <c r="H64" i="30"/>
  <c r="G64" i="30"/>
  <c r="F64" i="30"/>
  <c r="E64" i="30"/>
  <c r="D64" i="30"/>
  <c r="K63" i="30"/>
  <c r="J63" i="30"/>
  <c r="I63" i="30"/>
  <c r="H63" i="30"/>
  <c r="G63" i="30"/>
  <c r="F63" i="30"/>
  <c r="E63" i="30"/>
  <c r="D63" i="30"/>
  <c r="K62" i="30"/>
  <c r="J62" i="30"/>
  <c r="I62" i="30"/>
  <c r="H62" i="30"/>
  <c r="G62" i="30"/>
  <c r="F62" i="30"/>
  <c r="E62" i="30"/>
  <c r="D62" i="30"/>
  <c r="K61" i="30"/>
  <c r="J61" i="30"/>
  <c r="I61" i="30"/>
  <c r="H61" i="30"/>
  <c r="G61" i="30"/>
  <c r="K60" i="30"/>
  <c r="J60" i="30"/>
  <c r="I60" i="30"/>
  <c r="H60" i="30"/>
  <c r="G60" i="30"/>
  <c r="K59" i="30"/>
  <c r="J59" i="30"/>
  <c r="I59" i="30"/>
  <c r="H59" i="30"/>
  <c r="G59" i="30"/>
  <c r="F58" i="30"/>
  <c r="E58" i="30"/>
  <c r="D58" i="30"/>
  <c r="K53" i="30"/>
  <c r="J21" i="29" s="1"/>
  <c r="J53" i="30"/>
  <c r="I21" i="29" s="1"/>
  <c r="I53" i="30"/>
  <c r="H53" i="30"/>
  <c r="G53" i="30"/>
  <c r="F21" i="29" s="1"/>
  <c r="F53" i="30"/>
  <c r="E53" i="30"/>
  <c r="D53" i="30"/>
  <c r="F52" i="30"/>
  <c r="E52" i="30"/>
  <c r="D52" i="30"/>
  <c r="F51" i="30"/>
  <c r="E51" i="30"/>
  <c r="D51" i="30"/>
  <c r="F50" i="30"/>
  <c r="E50" i="30"/>
  <c r="D50" i="30"/>
  <c r="N50" i="30" s="1"/>
  <c r="N49" i="30"/>
  <c r="N48" i="30"/>
  <c r="N47" i="30"/>
  <c r="F46" i="30"/>
  <c r="E46" i="30"/>
  <c r="D46" i="30"/>
  <c r="K41" i="30"/>
  <c r="J41" i="30"/>
  <c r="I20" i="29" s="1"/>
  <c r="I41" i="30"/>
  <c r="H41" i="30"/>
  <c r="G41" i="30"/>
  <c r="F41" i="30"/>
  <c r="E41" i="30"/>
  <c r="D41" i="30"/>
  <c r="K40" i="30"/>
  <c r="J40" i="30"/>
  <c r="I40" i="30"/>
  <c r="H40" i="30"/>
  <c r="G40" i="30"/>
  <c r="F40" i="30"/>
  <c r="E40" i="30"/>
  <c r="D40" i="30"/>
  <c r="K39" i="30"/>
  <c r="J39" i="30"/>
  <c r="I39" i="30"/>
  <c r="H39" i="30"/>
  <c r="G39" i="30"/>
  <c r="F39" i="30"/>
  <c r="E39" i="30"/>
  <c r="D39" i="30"/>
  <c r="K38" i="30"/>
  <c r="J38" i="30"/>
  <c r="I38" i="30"/>
  <c r="H38" i="30"/>
  <c r="G38" i="30"/>
  <c r="F38" i="30"/>
  <c r="E38" i="30"/>
  <c r="D38" i="30"/>
  <c r="K37" i="30"/>
  <c r="J37" i="30"/>
  <c r="I37" i="30"/>
  <c r="H37" i="30"/>
  <c r="G37" i="30"/>
  <c r="K36" i="30"/>
  <c r="J36" i="30"/>
  <c r="I36" i="30"/>
  <c r="H36" i="30"/>
  <c r="G36" i="30"/>
  <c r="K35" i="30"/>
  <c r="J35" i="30"/>
  <c r="I35" i="30"/>
  <c r="H35" i="30"/>
  <c r="G35" i="30"/>
  <c r="F34" i="30"/>
  <c r="E34" i="30"/>
  <c r="D34" i="30"/>
  <c r="K29" i="30"/>
  <c r="J19" i="29" s="1"/>
  <c r="J29" i="30"/>
  <c r="I29" i="30"/>
  <c r="H29" i="30"/>
  <c r="G29" i="30"/>
  <c r="F19" i="29" s="1"/>
  <c r="F29" i="30"/>
  <c r="E29" i="30"/>
  <c r="D29" i="30"/>
  <c r="C19" i="29" s="1"/>
  <c r="C37" i="29" s="1"/>
  <c r="B29" i="30"/>
  <c r="B41" i="30" s="1"/>
  <c r="B53" i="30" s="1"/>
  <c r="B65" i="30" s="1"/>
  <c r="K28" i="30"/>
  <c r="J28" i="30"/>
  <c r="I28" i="30"/>
  <c r="H28" i="30"/>
  <c r="G28" i="30"/>
  <c r="F28" i="30"/>
  <c r="E28" i="30"/>
  <c r="D28" i="30"/>
  <c r="B28" i="30"/>
  <c r="B40" i="30" s="1"/>
  <c r="B52" i="30" s="1"/>
  <c r="B64" i="30" s="1"/>
  <c r="K27" i="30"/>
  <c r="J27" i="30"/>
  <c r="I27" i="30"/>
  <c r="H27" i="30"/>
  <c r="G27" i="30"/>
  <c r="F27" i="30"/>
  <c r="E27" i="30"/>
  <c r="D27" i="30"/>
  <c r="B27" i="30"/>
  <c r="B39" i="30" s="1"/>
  <c r="B51" i="30" s="1"/>
  <c r="B63" i="30" s="1"/>
  <c r="K26" i="30"/>
  <c r="J26" i="30"/>
  <c r="I26" i="30"/>
  <c r="H26" i="30"/>
  <c r="G26" i="30"/>
  <c r="F26" i="30"/>
  <c r="E26" i="30"/>
  <c r="D26" i="30"/>
  <c r="B26" i="30"/>
  <c r="B38" i="30" s="1"/>
  <c r="B50" i="30" s="1"/>
  <c r="B62" i="30" s="1"/>
  <c r="K25" i="30"/>
  <c r="J25" i="30"/>
  <c r="I25" i="30"/>
  <c r="H25" i="30"/>
  <c r="G25" i="30"/>
  <c r="B25" i="30"/>
  <c r="B37" i="30" s="1"/>
  <c r="B49" i="30" s="1"/>
  <c r="B61" i="30" s="1"/>
  <c r="K24" i="30"/>
  <c r="J24" i="30"/>
  <c r="I24" i="30"/>
  <c r="H24" i="30"/>
  <c r="G24" i="30"/>
  <c r="B24" i="30"/>
  <c r="B36" i="30" s="1"/>
  <c r="B48" i="30" s="1"/>
  <c r="B60" i="30" s="1"/>
  <c r="K23" i="30"/>
  <c r="J23" i="30"/>
  <c r="I23" i="30"/>
  <c r="H23" i="30"/>
  <c r="G23" i="30"/>
  <c r="B23" i="30"/>
  <c r="B35" i="30" s="1"/>
  <c r="B47" i="30" s="1"/>
  <c r="B59" i="30" s="1"/>
  <c r="F22" i="30"/>
  <c r="E22" i="30"/>
  <c r="D22" i="30"/>
  <c r="B22" i="30"/>
  <c r="B34" i="30" s="1"/>
  <c r="B46" i="30" s="1"/>
  <c r="B58" i="30" s="1"/>
  <c r="B21" i="30"/>
  <c r="B33" i="30" s="1"/>
  <c r="B45" i="30" s="1"/>
  <c r="B57" i="30" s="1"/>
  <c r="K17" i="30"/>
  <c r="J17" i="30"/>
  <c r="I17" i="30"/>
  <c r="H18" i="29" s="1"/>
  <c r="H17" i="30"/>
  <c r="G18" i="29" s="1"/>
  <c r="G17" i="30"/>
  <c r="F17" i="30"/>
  <c r="E17" i="30"/>
  <c r="D17" i="30"/>
  <c r="C18" i="29" s="1"/>
  <c r="C36" i="29" s="1"/>
  <c r="K16" i="30"/>
  <c r="J16" i="30"/>
  <c r="I16" i="30"/>
  <c r="H16" i="30"/>
  <c r="G16" i="30"/>
  <c r="F16" i="30"/>
  <c r="E16" i="30"/>
  <c r="D16" i="30"/>
  <c r="K15" i="30"/>
  <c r="J15" i="30"/>
  <c r="I15" i="30"/>
  <c r="H15" i="30"/>
  <c r="G15" i="30"/>
  <c r="F15" i="30"/>
  <c r="E15" i="30"/>
  <c r="D15" i="30"/>
  <c r="K14" i="30"/>
  <c r="J14" i="30"/>
  <c r="I14" i="30"/>
  <c r="H14" i="30"/>
  <c r="G14" i="30"/>
  <c r="F14" i="30"/>
  <c r="E14" i="30"/>
  <c r="D14" i="30"/>
  <c r="K13" i="30"/>
  <c r="J13" i="30"/>
  <c r="I13" i="30"/>
  <c r="H13" i="30"/>
  <c r="G13" i="30"/>
  <c r="M12" i="30"/>
  <c r="L12" i="30"/>
  <c r="K12" i="30"/>
  <c r="J12" i="30"/>
  <c r="I12" i="30"/>
  <c r="H12" i="30"/>
  <c r="G12" i="30"/>
  <c r="M11" i="30"/>
  <c r="L11" i="30"/>
  <c r="K11" i="30"/>
  <c r="J11" i="30"/>
  <c r="I11" i="30"/>
  <c r="H11" i="30"/>
  <c r="G11" i="30"/>
  <c r="F10" i="30"/>
  <c r="E10" i="30"/>
  <c r="D10" i="30"/>
  <c r="E7" i="30"/>
  <c r="F7" i="30" s="1"/>
  <c r="G7" i="30" s="1"/>
  <c r="H7" i="30" s="1"/>
  <c r="I7" i="30" s="1"/>
  <c r="J7" i="30" s="1"/>
  <c r="K7" i="30" s="1"/>
  <c r="L7" i="30" s="1"/>
  <c r="M7" i="30" s="1"/>
  <c r="M3" i="30"/>
  <c r="L9" i="29" s="1"/>
  <c r="L11" i="29" s="1"/>
  <c r="L3" i="30"/>
  <c r="K3" i="30"/>
  <c r="J9" i="29" s="1"/>
  <c r="J11" i="29" s="1"/>
  <c r="J3" i="30"/>
  <c r="I9" i="29" s="1"/>
  <c r="I11" i="29" s="1"/>
  <c r="I3" i="30"/>
  <c r="H9" i="29" s="1"/>
  <c r="H11" i="29" s="1"/>
  <c r="H3" i="30"/>
  <c r="G9" i="29" s="1"/>
  <c r="G11" i="29" s="1"/>
  <c r="G3" i="30"/>
  <c r="F3" i="30"/>
  <c r="E3" i="30"/>
  <c r="D9" i="29" s="1"/>
  <c r="D11" i="29" s="1"/>
  <c r="D13" i="29" s="1"/>
  <c r="B3" i="30"/>
  <c r="M2" i="30"/>
  <c r="L2" i="30"/>
  <c r="K2" i="30"/>
  <c r="J2" i="30"/>
  <c r="I2" i="30"/>
  <c r="H2" i="30"/>
  <c r="G2" i="30"/>
  <c r="F2" i="30"/>
  <c r="E2" i="30"/>
  <c r="K60" i="23"/>
  <c r="K65" i="23" s="1"/>
  <c r="J60" i="23"/>
  <c r="J61" i="23"/>
  <c r="J62" i="23"/>
  <c r="J63" i="23"/>
  <c r="J64" i="23"/>
  <c r="J59" i="23"/>
  <c r="J36" i="23"/>
  <c r="J37" i="23"/>
  <c r="J38" i="23"/>
  <c r="J39" i="23"/>
  <c r="J40" i="23"/>
  <c r="J35" i="23"/>
  <c r="J24" i="23"/>
  <c r="J25" i="23"/>
  <c r="J26" i="23"/>
  <c r="J27" i="23"/>
  <c r="J28" i="23"/>
  <c r="J23" i="23"/>
  <c r="M11" i="23"/>
  <c r="M17" i="23" s="1"/>
  <c r="M12" i="23"/>
  <c r="L11" i="23"/>
  <c r="L12" i="23"/>
  <c r="K11" i="23"/>
  <c r="K17" i="23" s="1"/>
  <c r="K12" i="23"/>
  <c r="J12" i="23"/>
  <c r="J13" i="23"/>
  <c r="J14" i="23"/>
  <c r="J15" i="23"/>
  <c r="J16" i="23"/>
  <c r="J11" i="23"/>
  <c r="J161" i="24"/>
  <c r="H161" i="24"/>
  <c r="I161" i="24"/>
  <c r="G161" i="24"/>
  <c r="J130" i="24"/>
  <c r="H130" i="24"/>
  <c r="I130" i="24"/>
  <c r="G130" i="24"/>
  <c r="J99" i="24"/>
  <c r="H99" i="24"/>
  <c r="I99" i="24"/>
  <c r="G99" i="24"/>
  <c r="J68" i="24"/>
  <c r="H68" i="24"/>
  <c r="I68" i="24"/>
  <c r="G68" i="24"/>
  <c r="J37" i="24"/>
  <c r="H37" i="24"/>
  <c r="I37" i="24"/>
  <c r="G37" i="24"/>
  <c r="L10" i="28"/>
  <c r="L31" i="29" s="1"/>
  <c r="L9" i="28"/>
  <c r="L30" i="29" s="1"/>
  <c r="L8" i="28"/>
  <c r="L29" i="29" s="1"/>
  <c r="L7" i="28"/>
  <c r="L28" i="29" s="1"/>
  <c r="K10" i="28"/>
  <c r="K31" i="29" s="1"/>
  <c r="K9" i="28"/>
  <c r="K30" i="29" s="1"/>
  <c r="K8" i="28"/>
  <c r="K29" i="29" s="1"/>
  <c r="K7" i="28"/>
  <c r="K28" i="29" s="1"/>
  <c r="J10" i="28"/>
  <c r="J31" i="29" s="1"/>
  <c r="J9" i="28"/>
  <c r="J30" i="29" s="1"/>
  <c r="J8" i="28"/>
  <c r="J29" i="29" s="1"/>
  <c r="J7" i="28"/>
  <c r="J28" i="29" s="1"/>
  <c r="J6" i="28"/>
  <c r="J27" i="29" s="1"/>
  <c r="G10" i="28"/>
  <c r="G31" i="29" s="1"/>
  <c r="H10" i="28"/>
  <c r="H31" i="29" s="1"/>
  <c r="I10" i="28"/>
  <c r="I31" i="29" s="1"/>
  <c r="F10" i="28"/>
  <c r="F31" i="29" s="1"/>
  <c r="G9" i="28"/>
  <c r="G30" i="29" s="1"/>
  <c r="H9" i="28"/>
  <c r="H30" i="29" s="1"/>
  <c r="I9" i="28"/>
  <c r="I30" i="29" s="1"/>
  <c r="F9" i="28"/>
  <c r="F30" i="29" s="1"/>
  <c r="G8" i="28"/>
  <c r="G29" i="29" s="1"/>
  <c r="H8" i="28"/>
  <c r="H29" i="29" s="1"/>
  <c r="I8" i="28"/>
  <c r="I29" i="29" s="1"/>
  <c r="F8" i="28"/>
  <c r="F29" i="29" s="1"/>
  <c r="G7" i="28"/>
  <c r="G28" i="29" s="1"/>
  <c r="H7" i="28"/>
  <c r="H28" i="29" s="1"/>
  <c r="I7" i="28"/>
  <c r="I28" i="29" s="1"/>
  <c r="F7" i="28"/>
  <c r="F28" i="29" s="1"/>
  <c r="G6" i="28"/>
  <c r="G27" i="29" s="1"/>
  <c r="H6" i="28"/>
  <c r="H27" i="29" s="1"/>
  <c r="I6" i="28"/>
  <c r="I27" i="29" s="1"/>
  <c r="F6" i="28"/>
  <c r="F27" i="29" s="1"/>
  <c r="H77" i="33" l="1"/>
  <c r="J17" i="23"/>
  <c r="J29" i="23"/>
  <c r="J65" i="23"/>
  <c r="H22" i="29"/>
  <c r="L17" i="23"/>
  <c r="D19" i="29"/>
  <c r="F20" i="29"/>
  <c r="J20" i="29"/>
  <c r="J41" i="23"/>
  <c r="N12" i="30"/>
  <c r="D37" i="29"/>
  <c r="D46" i="29" s="1"/>
  <c r="N34" i="30"/>
  <c r="F146" i="31"/>
  <c r="E19" i="29"/>
  <c r="I19" i="29"/>
  <c r="G20" i="29"/>
  <c r="F22" i="29"/>
  <c r="J22" i="29"/>
  <c r="H19" i="29"/>
  <c r="I22" i="29"/>
  <c r="N51" i="30"/>
  <c r="N52" i="30"/>
  <c r="N58" i="30"/>
  <c r="H4" i="31"/>
  <c r="I4" i="31" s="1"/>
  <c r="J4" i="31" s="1"/>
  <c r="K4" i="31" s="1"/>
  <c r="L4" i="31" s="1"/>
  <c r="M4" i="31" s="1"/>
  <c r="F84" i="31"/>
  <c r="E20" i="29" s="1"/>
  <c r="E4" i="30"/>
  <c r="E9" i="29"/>
  <c r="E11" i="29" s="1"/>
  <c r="E13" i="29" s="1"/>
  <c r="C45" i="29"/>
  <c r="C72" i="29"/>
  <c r="G4" i="30"/>
  <c r="H4" i="30" s="1"/>
  <c r="I4" i="30" s="1"/>
  <c r="J4" i="30" s="1"/>
  <c r="K4" i="30" s="1"/>
  <c r="L4" i="30" s="1"/>
  <c r="M4" i="30" s="1"/>
  <c r="F9" i="29"/>
  <c r="F11" i="29" s="1"/>
  <c r="N11" i="30"/>
  <c r="D115" i="31"/>
  <c r="C21" i="29" s="1"/>
  <c r="C39" i="29" s="1"/>
  <c r="H20" i="33"/>
  <c r="D58" i="29"/>
  <c r="D55" i="29"/>
  <c r="D57" i="29"/>
  <c r="D54" i="29"/>
  <c r="D56" i="29"/>
  <c r="F18" i="29"/>
  <c r="J18" i="29"/>
  <c r="N22" i="30"/>
  <c r="C73" i="29"/>
  <c r="G19" i="29"/>
  <c r="H20" i="29"/>
  <c r="H21" i="29"/>
  <c r="E22" i="29"/>
  <c r="E84" i="31"/>
  <c r="D20" i="29" s="1"/>
  <c r="D38" i="29" s="1"/>
  <c r="F115" i="31"/>
  <c r="E21" i="29" s="1"/>
  <c r="E146" i="31"/>
  <c r="D22" i="29" s="1"/>
  <c r="D40" i="29" s="1"/>
  <c r="D73" i="29"/>
  <c r="L5" i="30"/>
  <c r="L60" i="30" s="1"/>
  <c r="K9" i="29"/>
  <c r="K11" i="29" s="1"/>
  <c r="N10" i="30"/>
  <c r="I18" i="29"/>
  <c r="N46" i="30"/>
  <c r="G21" i="29"/>
  <c r="E22" i="31"/>
  <c r="D18" i="29" s="1"/>
  <c r="D36" i="29" s="1"/>
  <c r="F22" i="31"/>
  <c r="E18" i="29" s="1"/>
  <c r="D84" i="31"/>
  <c r="C20" i="29" s="1"/>
  <c r="C38" i="29" s="1"/>
  <c r="E115" i="31"/>
  <c r="D21" i="29" s="1"/>
  <c r="D39" i="29" s="1"/>
  <c r="D146" i="31"/>
  <c r="C22" i="29" s="1"/>
  <c r="C40" i="29" s="1"/>
  <c r="L36" i="30"/>
  <c r="L29" i="30"/>
  <c r="K19" i="29" s="1"/>
  <c r="L26" i="30"/>
  <c r="L15" i="30"/>
  <c r="L23" i="30"/>
  <c r="L63" i="30"/>
  <c r="L40" i="30"/>
  <c r="L39" i="30"/>
  <c r="L59" i="30"/>
  <c r="L13" i="30"/>
  <c r="L14" i="30"/>
  <c r="E39" i="29" l="1"/>
  <c r="L35" i="30"/>
  <c r="L62" i="30"/>
  <c r="L25" i="30"/>
  <c r="L17" i="30"/>
  <c r="K18" i="29" s="1"/>
  <c r="L37" i="30"/>
  <c r="L41" i="30"/>
  <c r="K20" i="29" s="1"/>
  <c r="L64" i="30"/>
  <c r="M5" i="30"/>
  <c r="L27" i="30"/>
  <c r="L53" i="30"/>
  <c r="K21" i="29" s="1"/>
  <c r="L24" i="30"/>
  <c r="L38" i="30"/>
  <c r="L61" i="30"/>
  <c r="L65" i="30"/>
  <c r="K22" i="29" s="1"/>
  <c r="L16" i="30"/>
  <c r="L28" i="30"/>
  <c r="E36" i="29"/>
  <c r="D72" i="29"/>
  <c r="D48" i="29"/>
  <c r="E48" i="29" s="1"/>
  <c r="D75" i="29"/>
  <c r="E57" i="29"/>
  <c r="E75" i="29" s="1"/>
  <c r="F13" i="29"/>
  <c r="E55" i="29"/>
  <c r="E64" i="29" s="1"/>
  <c r="E54" i="29"/>
  <c r="E56" i="29"/>
  <c r="E58" i="29"/>
  <c r="E37" i="29"/>
  <c r="E38" i="29"/>
  <c r="C76" i="29"/>
  <c r="D74" i="29"/>
  <c r="D47" i="29"/>
  <c r="E47" i="29" s="1"/>
  <c r="D66" i="29"/>
  <c r="D49" i="29"/>
  <c r="D76" i="29"/>
  <c r="D65" i="29"/>
  <c r="D64" i="29"/>
  <c r="C75" i="29"/>
  <c r="C74" i="29"/>
  <c r="E40" i="29"/>
  <c r="D63" i="29"/>
  <c r="E63" i="29" s="1"/>
  <c r="D67" i="29"/>
  <c r="D45" i="29"/>
  <c r="E45" i="29" s="1"/>
  <c r="M59" i="30"/>
  <c r="N59" i="30" s="1"/>
  <c r="M35" i="30"/>
  <c r="M24" i="30"/>
  <c r="M17" i="30"/>
  <c r="M13" i="30"/>
  <c r="N13" i="30" s="1"/>
  <c r="M16" i="30"/>
  <c r="M15" i="30"/>
  <c r="N15" i="30" s="1"/>
  <c r="M60" i="30"/>
  <c r="N60" i="30" s="1"/>
  <c r="M53" i="30"/>
  <c r="L21" i="29" s="1"/>
  <c r="M36" i="30"/>
  <c r="N36" i="30" s="1"/>
  <c r="M29" i="30"/>
  <c r="M28" i="30"/>
  <c r="N28" i="30" s="1"/>
  <c r="M27" i="30"/>
  <c r="N27" i="30" s="1"/>
  <c r="M26" i="30"/>
  <c r="N26" i="30" s="1"/>
  <c r="M25" i="30"/>
  <c r="M65" i="30"/>
  <c r="M64" i="30"/>
  <c r="M63" i="30"/>
  <c r="N63" i="30" s="1"/>
  <c r="M62" i="30"/>
  <c r="M61" i="30"/>
  <c r="N61" i="30" s="1"/>
  <c r="M41" i="30"/>
  <c r="L20" i="29" s="1"/>
  <c r="M40" i="30"/>
  <c r="N40" i="30" s="1"/>
  <c r="M39" i="30"/>
  <c r="N39" i="30" s="1"/>
  <c r="M38" i="30"/>
  <c r="N38" i="30" s="1"/>
  <c r="M37" i="30"/>
  <c r="N37" i="30" s="1"/>
  <c r="M23" i="30"/>
  <c r="N23" i="30" s="1"/>
  <c r="M14" i="30"/>
  <c r="N14" i="30" s="1"/>
  <c r="N62" i="30" l="1"/>
  <c r="N25" i="30"/>
  <c r="N16" i="30"/>
  <c r="N35" i="30"/>
  <c r="E66" i="29"/>
  <c r="E74" i="29"/>
  <c r="E72" i="29"/>
  <c r="N64" i="30"/>
  <c r="N53" i="30"/>
  <c r="N24" i="30"/>
  <c r="N41" i="30"/>
  <c r="N65" i="30"/>
  <c r="L22" i="29"/>
  <c r="N17" i="30"/>
  <c r="L18" i="29"/>
  <c r="N29" i="30"/>
  <c r="L19" i="29"/>
  <c r="F58" i="29"/>
  <c r="G13" i="29"/>
  <c r="F55" i="29"/>
  <c r="F64" i="29" s="1"/>
  <c r="F39" i="29"/>
  <c r="F37" i="29"/>
  <c r="F57" i="29"/>
  <c r="F54" i="29"/>
  <c r="F38" i="29"/>
  <c r="F56" i="29"/>
  <c r="F40" i="29"/>
  <c r="F36" i="29"/>
  <c r="F45" i="29" s="1"/>
  <c r="E49" i="29"/>
  <c r="E65" i="29"/>
  <c r="E46" i="29"/>
  <c r="E73" i="29"/>
  <c r="E67" i="29"/>
  <c r="F67" i="29" s="1"/>
  <c r="E76" i="29"/>
  <c r="K59" i="26"/>
  <c r="L59" i="26"/>
  <c r="M59" i="26"/>
  <c r="K60" i="26"/>
  <c r="L60" i="26"/>
  <c r="M60" i="26"/>
  <c r="K61" i="26"/>
  <c r="L61" i="26"/>
  <c r="M61" i="26"/>
  <c r="K62" i="26"/>
  <c r="L62" i="26"/>
  <c r="M62" i="26"/>
  <c r="K63" i="26"/>
  <c r="L63" i="26"/>
  <c r="M63" i="26"/>
  <c r="L58" i="26"/>
  <c r="M58" i="26"/>
  <c r="K58" i="26"/>
  <c r="L46" i="26"/>
  <c r="M46" i="26"/>
  <c r="L47" i="26"/>
  <c r="M47" i="26"/>
  <c r="L48" i="26"/>
  <c r="M48" i="26"/>
  <c r="L49" i="26"/>
  <c r="M49" i="26"/>
  <c r="L50" i="26"/>
  <c r="M50" i="26"/>
  <c r="K47" i="26"/>
  <c r="K48" i="26"/>
  <c r="K49" i="26"/>
  <c r="K50" i="26"/>
  <c r="K46" i="26"/>
  <c r="L36" i="26"/>
  <c r="M36" i="26"/>
  <c r="L37" i="26"/>
  <c r="M37" i="26"/>
  <c r="L38" i="26"/>
  <c r="M38" i="26"/>
  <c r="K37" i="26"/>
  <c r="K38" i="26"/>
  <c r="K36" i="26"/>
  <c r="L27" i="26"/>
  <c r="M27" i="26"/>
  <c r="L28" i="26"/>
  <c r="M28" i="26"/>
  <c r="K28" i="26"/>
  <c r="K27" i="26"/>
  <c r="L23" i="26"/>
  <c r="M23" i="26"/>
  <c r="K23" i="26"/>
  <c r="J47" i="26"/>
  <c r="J48" i="26"/>
  <c r="J49" i="26"/>
  <c r="J50" i="26"/>
  <c r="J46" i="26"/>
  <c r="M51" i="26" l="1"/>
  <c r="L64" i="26"/>
  <c r="M64" i="26"/>
  <c r="K29" i="26"/>
  <c r="K30" i="23" s="1"/>
  <c r="M29" i="26"/>
  <c r="K39" i="26"/>
  <c r="K42" i="23" s="1"/>
  <c r="L39" i="26"/>
  <c r="K64" i="26"/>
  <c r="K66" i="23" s="1"/>
  <c r="L29" i="26"/>
  <c r="M39" i="26"/>
  <c r="K51" i="26"/>
  <c r="K54" i="23" s="1"/>
  <c r="L51" i="26"/>
  <c r="F74" i="29"/>
  <c r="F63" i="29"/>
  <c r="F49" i="29"/>
  <c r="F65" i="29"/>
  <c r="F46" i="29"/>
  <c r="F73" i="29"/>
  <c r="F48" i="29"/>
  <c r="F75" i="29"/>
  <c r="F72" i="29"/>
  <c r="F47" i="29"/>
  <c r="F76" i="29"/>
  <c r="F66" i="29"/>
  <c r="G58" i="29"/>
  <c r="H13" i="29"/>
  <c r="G55" i="29"/>
  <c r="G57" i="29"/>
  <c r="G66" i="29" s="1"/>
  <c r="G36" i="29"/>
  <c r="G38" i="29"/>
  <c r="G54" i="29"/>
  <c r="G56" i="29"/>
  <c r="G40" i="29"/>
  <c r="G76" i="29" s="1"/>
  <c r="G37" i="29"/>
  <c r="G39" i="29"/>
  <c r="J51" i="26"/>
  <c r="J37" i="26"/>
  <c r="J38" i="26"/>
  <c r="J36" i="26"/>
  <c r="G47" i="29" l="1"/>
  <c r="C23" i="33"/>
  <c r="J54" i="23"/>
  <c r="G75" i="29"/>
  <c r="G64" i="29"/>
  <c r="G48" i="29"/>
  <c r="J39" i="26"/>
  <c r="G72" i="29"/>
  <c r="G67" i="29"/>
  <c r="G49" i="29"/>
  <c r="G46" i="29"/>
  <c r="G73" i="29"/>
  <c r="G74" i="29"/>
  <c r="H58" i="29"/>
  <c r="I13" i="29"/>
  <c r="H54" i="29"/>
  <c r="H63" i="29" s="1"/>
  <c r="H37" i="29"/>
  <c r="H36" i="29"/>
  <c r="H56" i="29"/>
  <c r="H65" i="29" s="1"/>
  <c r="H55" i="29"/>
  <c r="H64" i="29" s="1"/>
  <c r="H57" i="29"/>
  <c r="H66" i="29" s="1"/>
  <c r="H40" i="29"/>
  <c r="H76" i="29" s="1"/>
  <c r="H38" i="29"/>
  <c r="H39" i="29"/>
  <c r="G65" i="29"/>
  <c r="G63" i="29"/>
  <c r="G45" i="29"/>
  <c r="J28" i="26"/>
  <c r="J23" i="26"/>
  <c r="J27" i="26"/>
  <c r="H74" i="29" l="1"/>
  <c r="I55" i="29"/>
  <c r="I64" i="29" s="1"/>
  <c r="J13" i="29"/>
  <c r="I54" i="29"/>
  <c r="I63" i="29" s="1"/>
  <c r="I37" i="29"/>
  <c r="I57" i="29"/>
  <c r="I38" i="29"/>
  <c r="I56" i="29"/>
  <c r="I65" i="29" s="1"/>
  <c r="I40" i="29"/>
  <c r="I39" i="29"/>
  <c r="I75" i="29" s="1"/>
  <c r="I58" i="29"/>
  <c r="I36" i="29"/>
  <c r="H45" i="29"/>
  <c r="H72" i="29"/>
  <c r="H67" i="29"/>
  <c r="H46" i="29"/>
  <c r="H49" i="29"/>
  <c r="H47" i="29"/>
  <c r="I47" i="29" s="1"/>
  <c r="H48" i="29"/>
  <c r="I48" i="29" s="1"/>
  <c r="H75" i="29"/>
  <c r="C58" i="33"/>
  <c r="C102" i="33"/>
  <c r="J29" i="26"/>
  <c r="H73" i="29"/>
  <c r="C22" i="33"/>
  <c r="J42" i="23"/>
  <c r="I58" i="26"/>
  <c r="I59" i="26"/>
  <c r="I60" i="26"/>
  <c r="I61" i="26"/>
  <c r="I62" i="26"/>
  <c r="I63" i="26"/>
  <c r="H59" i="26"/>
  <c r="H60" i="26"/>
  <c r="H61" i="26"/>
  <c r="H62" i="26"/>
  <c r="H63" i="26"/>
  <c r="H58" i="26"/>
  <c r="I47" i="26"/>
  <c r="I48" i="26"/>
  <c r="I49" i="26"/>
  <c r="I50" i="26"/>
  <c r="H48" i="26"/>
  <c r="H49" i="26"/>
  <c r="H50" i="26"/>
  <c r="I46" i="26"/>
  <c r="H47" i="26"/>
  <c r="H46" i="26"/>
  <c r="I36" i="26"/>
  <c r="I37" i="26"/>
  <c r="I38" i="26"/>
  <c r="H37" i="26"/>
  <c r="H38" i="26"/>
  <c r="H36" i="26"/>
  <c r="H39" i="26" s="1"/>
  <c r="I27" i="26"/>
  <c r="I28" i="26"/>
  <c r="H28" i="26"/>
  <c r="H27" i="26"/>
  <c r="I23" i="26"/>
  <c r="I29" i="26" s="1"/>
  <c r="H23" i="26"/>
  <c r="E66" i="26"/>
  <c r="F66" i="26"/>
  <c r="D66" i="26"/>
  <c r="E53" i="26"/>
  <c r="F53" i="26"/>
  <c r="D53" i="26"/>
  <c r="E41" i="26"/>
  <c r="F41" i="26"/>
  <c r="D41" i="26"/>
  <c r="E31" i="26"/>
  <c r="F31" i="26"/>
  <c r="D31" i="26"/>
  <c r="E63" i="26"/>
  <c r="F63" i="26"/>
  <c r="G63" i="26"/>
  <c r="D63" i="26"/>
  <c r="E60" i="26"/>
  <c r="F60" i="26"/>
  <c r="G60" i="26"/>
  <c r="E61" i="26"/>
  <c r="F61" i="26"/>
  <c r="G61" i="26"/>
  <c r="D61" i="26"/>
  <c r="D60" i="26"/>
  <c r="E58" i="26"/>
  <c r="F58" i="26"/>
  <c r="G58" i="26"/>
  <c r="D58" i="26"/>
  <c r="E49" i="26"/>
  <c r="F49" i="26"/>
  <c r="G49" i="26"/>
  <c r="E50" i="26"/>
  <c r="F50" i="26"/>
  <c r="G50" i="26"/>
  <c r="D50" i="26"/>
  <c r="D49" i="26"/>
  <c r="E47" i="26"/>
  <c r="F47" i="26"/>
  <c r="G47" i="26"/>
  <c r="D47" i="26"/>
  <c r="E46" i="26"/>
  <c r="F46" i="26"/>
  <c r="G46" i="26"/>
  <c r="D46" i="26"/>
  <c r="G39" i="26"/>
  <c r="E37" i="26"/>
  <c r="F37" i="26"/>
  <c r="G37" i="26"/>
  <c r="E38" i="26"/>
  <c r="F38" i="26"/>
  <c r="G38" i="26"/>
  <c r="D38" i="26"/>
  <c r="D37" i="26"/>
  <c r="E36" i="26"/>
  <c r="F36" i="26"/>
  <c r="G36" i="26"/>
  <c r="D36" i="26"/>
  <c r="E28" i="26"/>
  <c r="F28" i="26"/>
  <c r="G28" i="26"/>
  <c r="D28" i="26"/>
  <c r="E26" i="26"/>
  <c r="F26" i="26"/>
  <c r="G26" i="26"/>
  <c r="D26" i="26"/>
  <c r="E25" i="26"/>
  <c r="F25" i="26"/>
  <c r="G25" i="26"/>
  <c r="D25" i="26"/>
  <c r="E23" i="26"/>
  <c r="F23" i="26"/>
  <c r="F29" i="26" s="1"/>
  <c r="G23" i="26"/>
  <c r="D23" i="26"/>
  <c r="I51" i="26" l="1"/>
  <c r="H64" i="26"/>
  <c r="I64" i="26"/>
  <c r="J64" i="26" s="1"/>
  <c r="I76" i="29"/>
  <c r="I46" i="29"/>
  <c r="I73" i="29"/>
  <c r="I39" i="26"/>
  <c r="H51" i="26"/>
  <c r="F39" i="26"/>
  <c r="G64" i="26"/>
  <c r="C21" i="33"/>
  <c r="J30" i="23"/>
  <c r="I49" i="29"/>
  <c r="I67" i="29"/>
  <c r="I74" i="29"/>
  <c r="K13" i="29"/>
  <c r="J38" i="29"/>
  <c r="J47" i="29" s="1"/>
  <c r="J58" i="29"/>
  <c r="J55" i="29"/>
  <c r="J64" i="29" s="1"/>
  <c r="J57" i="29"/>
  <c r="J39" i="29"/>
  <c r="J75" i="29" s="1"/>
  <c r="J40" i="29"/>
  <c r="J76" i="29" s="1"/>
  <c r="J54" i="29"/>
  <c r="J63" i="29" s="1"/>
  <c r="J56" i="29"/>
  <c r="J37" i="29"/>
  <c r="J36" i="29"/>
  <c r="C101" i="33"/>
  <c r="C57" i="33"/>
  <c r="H57" i="33" s="1"/>
  <c r="I57" i="33" s="1"/>
  <c r="I102" i="33"/>
  <c r="E102" i="33"/>
  <c r="G102" i="33"/>
  <c r="K102" i="33"/>
  <c r="F51" i="26"/>
  <c r="F64" i="26"/>
  <c r="H29" i="26"/>
  <c r="J48" i="29"/>
  <c r="I66" i="29"/>
  <c r="J66" i="29" s="1"/>
  <c r="I58" i="33"/>
  <c r="E58" i="33"/>
  <c r="G58" i="33"/>
  <c r="K58" i="33"/>
  <c r="I45" i="29"/>
  <c r="I72" i="29"/>
  <c r="J65" i="29"/>
  <c r="G29" i="26"/>
  <c r="C78" i="33" s="1"/>
  <c r="G51" i="26"/>
  <c r="D29" i="26"/>
  <c r="E29" i="26"/>
  <c r="D39" i="26"/>
  <c r="E39" i="26"/>
  <c r="D51" i="26"/>
  <c r="E51" i="26"/>
  <c r="D64" i="26"/>
  <c r="E64" i="26"/>
  <c r="O47" i="23" l="1"/>
  <c r="C80" i="33"/>
  <c r="G80" i="33" s="1"/>
  <c r="C81" i="33"/>
  <c r="O23" i="23"/>
  <c r="O24" i="23" s="1"/>
  <c r="O25" i="23" s="1"/>
  <c r="O26" i="23" s="1"/>
  <c r="O27" i="23" s="1"/>
  <c r="O28" i="23" s="1"/>
  <c r="O29" i="23" s="1"/>
  <c r="C79" i="33"/>
  <c r="M58" i="33"/>
  <c r="N58" i="33" s="1"/>
  <c r="J66" i="23"/>
  <c r="C24" i="33"/>
  <c r="C59" i="33" s="1"/>
  <c r="O59" i="23"/>
  <c r="O35" i="23"/>
  <c r="O36" i="23" s="1"/>
  <c r="O37" i="23" s="1"/>
  <c r="O38" i="23" s="1"/>
  <c r="O39" i="23" s="1"/>
  <c r="O40" i="23" s="1"/>
  <c r="O41" i="23" s="1"/>
  <c r="J46" i="29"/>
  <c r="C13" i="33"/>
  <c r="C35" i="33"/>
  <c r="C33" i="33"/>
  <c r="C11" i="33"/>
  <c r="J72" i="29"/>
  <c r="C103" i="33"/>
  <c r="J45" i="29"/>
  <c r="C34" i="33"/>
  <c r="C12" i="33"/>
  <c r="C10" i="33"/>
  <c r="C32" i="33"/>
  <c r="L13" i="29"/>
  <c r="K54" i="29"/>
  <c r="K63" i="29" s="1"/>
  <c r="K56" i="29"/>
  <c r="K65" i="29" s="1"/>
  <c r="K58" i="29"/>
  <c r="K55" i="29"/>
  <c r="K64" i="29" s="1"/>
  <c r="K57" i="29"/>
  <c r="K39" i="29"/>
  <c r="K75" i="29" s="1"/>
  <c r="K37" i="29"/>
  <c r="K40" i="29"/>
  <c r="K76" i="29" s="1"/>
  <c r="K36" i="29"/>
  <c r="K38" i="29"/>
  <c r="K74" i="29" s="1"/>
  <c r="J49" i="29"/>
  <c r="K46" i="29"/>
  <c r="J73" i="29"/>
  <c r="J74" i="29"/>
  <c r="J67" i="29"/>
  <c r="K67" i="29" s="1"/>
  <c r="C56" i="33"/>
  <c r="C100" i="33"/>
  <c r="J10" i="26"/>
  <c r="J11" i="26"/>
  <c r="J15" i="26"/>
  <c r="J13" i="26"/>
  <c r="J14" i="26"/>
  <c r="J12" i="26"/>
  <c r="O48" i="23" l="1"/>
  <c r="O49" i="23" s="1"/>
  <c r="O50" i="23" s="1"/>
  <c r="O51" i="23" s="1"/>
  <c r="O52" i="23" s="1"/>
  <c r="O53" i="23" s="1"/>
  <c r="O60" i="23"/>
  <c r="C111" i="33"/>
  <c r="C67" i="33"/>
  <c r="H67" i="33" s="1"/>
  <c r="I67" i="33" s="1"/>
  <c r="C68" i="33"/>
  <c r="H68" i="33" s="1"/>
  <c r="I68" i="33" s="1"/>
  <c r="C112" i="33"/>
  <c r="K66" i="29"/>
  <c r="H56" i="33"/>
  <c r="I56" i="33" s="1"/>
  <c r="K49" i="29"/>
  <c r="K73" i="29"/>
  <c r="K47" i="29"/>
  <c r="C90" i="33"/>
  <c r="C46" i="33"/>
  <c r="H46" i="33" s="1"/>
  <c r="I46" i="33" s="1"/>
  <c r="C91" i="33"/>
  <c r="E91" i="33" s="1"/>
  <c r="C47" i="33"/>
  <c r="C92" i="33"/>
  <c r="C48" i="33"/>
  <c r="K45" i="29"/>
  <c r="K72" i="29"/>
  <c r="K48" i="29"/>
  <c r="L54" i="29"/>
  <c r="L55" i="29"/>
  <c r="M55" i="29" s="1"/>
  <c r="L57" i="29"/>
  <c r="L58" i="29"/>
  <c r="M58" i="29" s="1"/>
  <c r="L56" i="29"/>
  <c r="M56" i="29" s="1"/>
  <c r="L39" i="29"/>
  <c r="L38" i="29"/>
  <c r="L36" i="29"/>
  <c r="L37" i="29"/>
  <c r="L46" i="29" s="1"/>
  <c r="L40" i="29"/>
  <c r="C89" i="33"/>
  <c r="C45" i="33"/>
  <c r="H45" i="33" s="1"/>
  <c r="I45" i="33" s="1"/>
  <c r="C113" i="33"/>
  <c r="E113" i="33" s="1"/>
  <c r="C69" i="33"/>
  <c r="C70" i="33"/>
  <c r="C114" i="33"/>
  <c r="J16" i="26"/>
  <c r="O61" i="23" l="1"/>
  <c r="I69" i="33"/>
  <c r="G69" i="33"/>
  <c r="K69" i="33"/>
  <c r="L49" i="29"/>
  <c r="L48" i="29"/>
  <c r="L74" i="29"/>
  <c r="M38" i="29"/>
  <c r="M74" i="29" s="1"/>
  <c r="L66" i="29"/>
  <c r="M57" i="29"/>
  <c r="L76" i="29"/>
  <c r="M40" i="29"/>
  <c r="M76" i="29" s="1"/>
  <c r="L75" i="29"/>
  <c r="M39" i="29"/>
  <c r="M75" i="29" s="1"/>
  <c r="L73" i="29"/>
  <c r="M37" i="29"/>
  <c r="M73" i="29" s="1"/>
  <c r="L63" i="29"/>
  <c r="M54" i="29"/>
  <c r="K47" i="33"/>
  <c r="I47" i="33"/>
  <c r="G47" i="33"/>
  <c r="L45" i="29"/>
  <c r="L72" i="29"/>
  <c r="M36" i="29"/>
  <c r="L64" i="29"/>
  <c r="L47" i="29"/>
  <c r="L67" i="29"/>
  <c r="L65" i="29"/>
  <c r="J18" i="23"/>
  <c r="I12" i="26"/>
  <c r="H14" i="26"/>
  <c r="E18" i="26"/>
  <c r="F18" i="26"/>
  <c r="D18" i="26"/>
  <c r="I15" i="26"/>
  <c r="H15" i="26"/>
  <c r="I14" i="26"/>
  <c r="I13" i="26"/>
  <c r="H12" i="26"/>
  <c r="I11" i="26"/>
  <c r="I10" i="26"/>
  <c r="H10" i="26"/>
  <c r="E15" i="26"/>
  <c r="F15" i="26"/>
  <c r="G15" i="26"/>
  <c r="D15" i="26"/>
  <c r="E13" i="26"/>
  <c r="F13" i="26"/>
  <c r="G13" i="26"/>
  <c r="D13" i="26"/>
  <c r="E12" i="26"/>
  <c r="F12" i="26"/>
  <c r="G12" i="26"/>
  <c r="D12" i="26"/>
  <c r="E10" i="26"/>
  <c r="F10" i="26"/>
  <c r="F16" i="26" s="1"/>
  <c r="G10" i="26"/>
  <c r="G16" i="26" s="1"/>
  <c r="D10" i="26"/>
  <c r="D16" i="26" s="1"/>
  <c r="L10" i="26"/>
  <c r="M10" i="26"/>
  <c r="L11" i="26"/>
  <c r="M11" i="26"/>
  <c r="L12" i="26"/>
  <c r="M12" i="26"/>
  <c r="L13" i="26"/>
  <c r="M13" i="26"/>
  <c r="L14" i="26"/>
  <c r="M14" i="26"/>
  <c r="L15" i="26"/>
  <c r="M15" i="26"/>
  <c r="K11" i="26"/>
  <c r="K12" i="26"/>
  <c r="K13" i="26"/>
  <c r="K14" i="26"/>
  <c r="K15" i="26"/>
  <c r="K10" i="26"/>
  <c r="B22" i="26"/>
  <c r="B35" i="26" s="1"/>
  <c r="B45" i="26" s="1"/>
  <c r="E7" i="26"/>
  <c r="F7" i="26" s="1"/>
  <c r="G7" i="26" s="1"/>
  <c r="H7" i="26" s="1"/>
  <c r="I7" i="26" s="1"/>
  <c r="J7" i="26" s="1"/>
  <c r="K7" i="26" s="1"/>
  <c r="L7" i="26" s="1"/>
  <c r="M7" i="26" s="1"/>
  <c r="M3" i="26"/>
  <c r="L3" i="26"/>
  <c r="K3" i="26"/>
  <c r="J3" i="26"/>
  <c r="I3" i="26"/>
  <c r="H3" i="26"/>
  <c r="G3" i="26"/>
  <c r="G4" i="26" s="1"/>
  <c r="F3" i="26"/>
  <c r="E4" i="26" s="1"/>
  <c r="E3" i="26"/>
  <c r="B3" i="26"/>
  <c r="M2" i="26"/>
  <c r="L2" i="26"/>
  <c r="K2" i="26"/>
  <c r="J2" i="26"/>
  <c r="I2" i="26"/>
  <c r="H2" i="26"/>
  <c r="G2" i="26"/>
  <c r="F2" i="26"/>
  <c r="E2" i="26"/>
  <c r="D157" i="24"/>
  <c r="E157" i="24"/>
  <c r="F157" i="24"/>
  <c r="D152" i="24"/>
  <c r="E152" i="24"/>
  <c r="F152" i="24"/>
  <c r="D153" i="24"/>
  <c r="E153" i="24"/>
  <c r="F153" i="24"/>
  <c r="D156" i="24"/>
  <c r="E156" i="24"/>
  <c r="F156" i="24"/>
  <c r="D158" i="24"/>
  <c r="E158" i="24"/>
  <c r="F158" i="24"/>
  <c r="D159" i="24"/>
  <c r="E159" i="24"/>
  <c r="F159" i="24"/>
  <c r="D161" i="24"/>
  <c r="E161" i="24"/>
  <c r="F161" i="24"/>
  <c r="E151" i="24"/>
  <c r="F151" i="24"/>
  <c r="D151" i="24"/>
  <c r="D136" i="24"/>
  <c r="E136" i="24"/>
  <c r="F136" i="24"/>
  <c r="D137" i="24"/>
  <c r="E137" i="24"/>
  <c r="F137" i="24"/>
  <c r="D138" i="24"/>
  <c r="E138" i="24"/>
  <c r="F138" i="24"/>
  <c r="D139" i="24"/>
  <c r="E139" i="24"/>
  <c r="F139" i="24"/>
  <c r="D140" i="24"/>
  <c r="E140" i="24"/>
  <c r="F140" i="24"/>
  <c r="D141" i="24"/>
  <c r="E141" i="24"/>
  <c r="F141" i="24"/>
  <c r="D142" i="24"/>
  <c r="E142" i="24"/>
  <c r="F142" i="24"/>
  <c r="D143" i="24"/>
  <c r="E143" i="24"/>
  <c r="F143" i="24"/>
  <c r="D144" i="24"/>
  <c r="E144" i="24"/>
  <c r="F144" i="24"/>
  <c r="E135" i="24"/>
  <c r="F135" i="24"/>
  <c r="D135" i="24"/>
  <c r="D130" i="24"/>
  <c r="E130" i="24"/>
  <c r="F130" i="24"/>
  <c r="D121" i="24"/>
  <c r="E121" i="24"/>
  <c r="F121" i="24"/>
  <c r="D122" i="24"/>
  <c r="E122" i="24"/>
  <c r="F122" i="24"/>
  <c r="D125" i="24"/>
  <c r="E125" i="24"/>
  <c r="F125" i="24"/>
  <c r="D126" i="24"/>
  <c r="E126" i="24"/>
  <c r="F126" i="24"/>
  <c r="D127" i="24"/>
  <c r="E127" i="24"/>
  <c r="F127" i="24"/>
  <c r="D128" i="24"/>
  <c r="E128" i="24"/>
  <c r="F128" i="24"/>
  <c r="E120" i="24"/>
  <c r="F120" i="24"/>
  <c r="D120" i="24"/>
  <c r="E104" i="24"/>
  <c r="F104" i="24"/>
  <c r="E105" i="24"/>
  <c r="F105" i="24"/>
  <c r="E106" i="24"/>
  <c r="F106" i="24"/>
  <c r="E107" i="24"/>
  <c r="F107" i="24"/>
  <c r="E108" i="24"/>
  <c r="F108" i="24"/>
  <c r="E109" i="24"/>
  <c r="F109" i="24"/>
  <c r="E110" i="24"/>
  <c r="F110" i="24"/>
  <c r="E111" i="24"/>
  <c r="F111" i="24"/>
  <c r="E112" i="24"/>
  <c r="F112" i="24"/>
  <c r="E113" i="24"/>
  <c r="F113" i="24"/>
  <c r="D105" i="24"/>
  <c r="D106" i="24"/>
  <c r="D107" i="24"/>
  <c r="D108" i="24"/>
  <c r="D109" i="24"/>
  <c r="D110" i="24"/>
  <c r="D111" i="24"/>
  <c r="D112" i="24"/>
  <c r="D113" i="24"/>
  <c r="D104" i="24"/>
  <c r="E97" i="24"/>
  <c r="F97" i="24"/>
  <c r="E98" i="24"/>
  <c r="F98" i="24"/>
  <c r="E99" i="24"/>
  <c r="F99" i="24"/>
  <c r="D98" i="24"/>
  <c r="D99" i="24"/>
  <c r="D90" i="24"/>
  <c r="E90" i="24"/>
  <c r="F90" i="24"/>
  <c r="D91" i="24"/>
  <c r="E91" i="24"/>
  <c r="F91" i="24"/>
  <c r="D94" i="24"/>
  <c r="E94" i="24"/>
  <c r="F94" i="24"/>
  <c r="D95" i="24"/>
  <c r="E95" i="24"/>
  <c r="F95" i="24"/>
  <c r="D96" i="24"/>
  <c r="E96" i="24"/>
  <c r="F96" i="24"/>
  <c r="D97" i="24"/>
  <c r="E89" i="24"/>
  <c r="F89" i="24"/>
  <c r="D89" i="24"/>
  <c r="D74" i="24"/>
  <c r="D75" i="24"/>
  <c r="D76" i="24"/>
  <c r="D77" i="24"/>
  <c r="D78" i="24"/>
  <c r="D79" i="24"/>
  <c r="D80" i="24"/>
  <c r="D81" i="24"/>
  <c r="D82" i="24"/>
  <c r="E74" i="24"/>
  <c r="F74" i="24"/>
  <c r="E75" i="24"/>
  <c r="F75" i="24"/>
  <c r="E76" i="24"/>
  <c r="F76" i="24"/>
  <c r="E77" i="24"/>
  <c r="F77" i="24"/>
  <c r="E78" i="24"/>
  <c r="F78" i="24"/>
  <c r="E79" i="24"/>
  <c r="F79" i="24"/>
  <c r="E80" i="24"/>
  <c r="F80" i="24"/>
  <c r="E81" i="24"/>
  <c r="F81" i="24"/>
  <c r="E82" i="24"/>
  <c r="F82" i="24"/>
  <c r="E73" i="24"/>
  <c r="F73" i="24"/>
  <c r="F84" i="24" s="1"/>
  <c r="D73" i="24"/>
  <c r="D59" i="24"/>
  <c r="E59" i="24"/>
  <c r="F59" i="24"/>
  <c r="D60" i="24"/>
  <c r="E60" i="24"/>
  <c r="F60" i="24"/>
  <c r="D61" i="24"/>
  <c r="E61" i="24"/>
  <c r="F61" i="24"/>
  <c r="D62" i="24"/>
  <c r="E62" i="24"/>
  <c r="F62" i="24"/>
  <c r="D63" i="24"/>
  <c r="E63" i="24"/>
  <c r="F63" i="24"/>
  <c r="D64" i="24"/>
  <c r="E64" i="24"/>
  <c r="F64" i="24"/>
  <c r="D65" i="24"/>
  <c r="E65" i="24"/>
  <c r="F65" i="24"/>
  <c r="D66" i="24"/>
  <c r="E66" i="24"/>
  <c r="F66" i="24"/>
  <c r="D67" i="24"/>
  <c r="E67" i="24"/>
  <c r="F67" i="24"/>
  <c r="D68" i="24"/>
  <c r="E68" i="24"/>
  <c r="F68" i="24"/>
  <c r="E58" i="24"/>
  <c r="F58" i="24"/>
  <c r="D58" i="24"/>
  <c r="D28" i="24"/>
  <c r="E28" i="24"/>
  <c r="F28" i="24"/>
  <c r="D29" i="24"/>
  <c r="E29" i="24"/>
  <c r="F29" i="24"/>
  <c r="D30" i="24"/>
  <c r="E30" i="24"/>
  <c r="F30" i="24"/>
  <c r="D31" i="24"/>
  <c r="E31" i="24"/>
  <c r="F31" i="24"/>
  <c r="D32" i="24"/>
  <c r="E32" i="24"/>
  <c r="F32" i="24"/>
  <c r="D33" i="24"/>
  <c r="E33" i="24"/>
  <c r="F33" i="24"/>
  <c r="D34" i="24"/>
  <c r="E34" i="24"/>
  <c r="F34" i="24"/>
  <c r="D35" i="24"/>
  <c r="E35" i="24"/>
  <c r="F35" i="24"/>
  <c r="D36" i="24"/>
  <c r="E36" i="24"/>
  <c r="F36" i="24"/>
  <c r="D37" i="24"/>
  <c r="E37" i="24"/>
  <c r="F37" i="24"/>
  <c r="E27" i="24"/>
  <c r="F27" i="24"/>
  <c r="D27" i="24"/>
  <c r="B155" i="24"/>
  <c r="B121" i="24"/>
  <c r="B152" i="24" s="1"/>
  <c r="B129" i="24"/>
  <c r="B54" i="24"/>
  <c r="B85" i="24" s="1"/>
  <c r="B116" i="24" s="1"/>
  <c r="B55" i="24"/>
  <c r="B86" i="24" s="1"/>
  <c r="B117" i="24" s="1"/>
  <c r="B148" i="24" s="1"/>
  <c r="B56" i="24"/>
  <c r="B87" i="24" s="1"/>
  <c r="B118" i="24" s="1"/>
  <c r="B57" i="24"/>
  <c r="B88" i="24" s="1"/>
  <c r="B119" i="24" s="1"/>
  <c r="B150" i="24" s="1"/>
  <c r="B58" i="24"/>
  <c r="B89" i="24" s="1"/>
  <c r="B120" i="24" s="1"/>
  <c r="B151" i="24" s="1"/>
  <c r="B59" i="24"/>
  <c r="B90" i="24" s="1"/>
  <c r="B60" i="24"/>
  <c r="B91" i="24" s="1"/>
  <c r="B122" i="24" s="1"/>
  <c r="B153" i="24" s="1"/>
  <c r="B61" i="24"/>
  <c r="B92" i="24" s="1"/>
  <c r="B123" i="24" s="1"/>
  <c r="B62" i="24"/>
  <c r="B93" i="24" s="1"/>
  <c r="B124" i="24" s="1"/>
  <c r="B63" i="24"/>
  <c r="B94" i="24" s="1"/>
  <c r="B125" i="24" s="1"/>
  <c r="B156" i="24" s="1"/>
  <c r="B64" i="24"/>
  <c r="B95" i="24" s="1"/>
  <c r="B126" i="24" s="1"/>
  <c r="B157" i="24" s="1"/>
  <c r="B65" i="24"/>
  <c r="B96" i="24" s="1"/>
  <c r="B127" i="24" s="1"/>
  <c r="B158" i="24" s="1"/>
  <c r="B66" i="24"/>
  <c r="B97" i="24" s="1"/>
  <c r="B128" i="24" s="1"/>
  <c r="B159" i="24" s="1"/>
  <c r="B67" i="24"/>
  <c r="B98" i="24" s="1"/>
  <c r="B68" i="24"/>
  <c r="B99" i="24" s="1"/>
  <c r="B130" i="24" s="1"/>
  <c r="B161" i="24" s="1"/>
  <c r="B40" i="24"/>
  <c r="B71" i="24" s="1"/>
  <c r="B102" i="24" s="1"/>
  <c r="B133" i="24" s="1"/>
  <c r="B42" i="24"/>
  <c r="B73" i="24" s="1"/>
  <c r="B104" i="24" s="1"/>
  <c r="B135" i="24" s="1"/>
  <c r="D43" i="24"/>
  <c r="E43" i="24"/>
  <c r="F43" i="24"/>
  <c r="D44" i="24"/>
  <c r="E44" i="24"/>
  <c r="F44" i="24"/>
  <c r="D45" i="24"/>
  <c r="E45" i="24"/>
  <c r="F45" i="24"/>
  <c r="D46" i="24"/>
  <c r="E46" i="24"/>
  <c r="F46" i="24"/>
  <c r="D47" i="24"/>
  <c r="E47" i="24"/>
  <c r="F47" i="24"/>
  <c r="D48" i="24"/>
  <c r="E48" i="24"/>
  <c r="F48" i="24"/>
  <c r="D49" i="24"/>
  <c r="E49" i="24"/>
  <c r="F49" i="24"/>
  <c r="D50" i="24"/>
  <c r="E50" i="24"/>
  <c r="F50" i="24"/>
  <c r="D51" i="24"/>
  <c r="E51" i="24"/>
  <c r="F51" i="24"/>
  <c r="E42" i="24"/>
  <c r="F42" i="24"/>
  <c r="D42" i="24"/>
  <c r="D12" i="24"/>
  <c r="E12" i="24"/>
  <c r="F12" i="24"/>
  <c r="D13" i="24"/>
  <c r="E13" i="24"/>
  <c r="F13" i="24"/>
  <c r="D14" i="24"/>
  <c r="E14" i="24"/>
  <c r="F14" i="24"/>
  <c r="D15" i="24"/>
  <c r="E15" i="24"/>
  <c r="F15" i="24"/>
  <c r="D16" i="24"/>
  <c r="E16" i="24"/>
  <c r="F16" i="24"/>
  <c r="D17" i="24"/>
  <c r="E17" i="24"/>
  <c r="F17" i="24"/>
  <c r="D18" i="24"/>
  <c r="E18" i="24"/>
  <c r="F18" i="24"/>
  <c r="D19" i="24"/>
  <c r="E19" i="24"/>
  <c r="F19" i="24"/>
  <c r="E11" i="24"/>
  <c r="F11" i="24"/>
  <c r="D11" i="24"/>
  <c r="B53" i="24"/>
  <c r="B84" i="24" s="1"/>
  <c r="B115" i="24" s="1"/>
  <c r="B146" i="24" s="1"/>
  <c r="B51" i="24"/>
  <c r="B82" i="24" s="1"/>
  <c r="B113" i="24" s="1"/>
  <c r="B144" i="24" s="1"/>
  <c r="B49" i="24"/>
  <c r="B80" i="24" s="1"/>
  <c r="B111" i="24" s="1"/>
  <c r="B142" i="24" s="1"/>
  <c r="B50" i="24"/>
  <c r="B81" i="24" s="1"/>
  <c r="B112" i="24" s="1"/>
  <c r="B143" i="24" s="1"/>
  <c r="B48" i="24"/>
  <c r="B79" i="24" s="1"/>
  <c r="B110" i="24" s="1"/>
  <c r="B141" i="24" s="1"/>
  <c r="B47" i="24"/>
  <c r="B78" i="24" s="1"/>
  <c r="B109" i="24" s="1"/>
  <c r="B140" i="24" s="1"/>
  <c r="B46" i="24"/>
  <c r="B77" i="24" s="1"/>
  <c r="B108" i="24" s="1"/>
  <c r="B139" i="24" s="1"/>
  <c r="B45" i="24"/>
  <c r="B76" i="24" s="1"/>
  <c r="B107" i="24" s="1"/>
  <c r="B138" i="24" s="1"/>
  <c r="B44" i="24"/>
  <c r="B75" i="24" s="1"/>
  <c r="B106" i="24" s="1"/>
  <c r="B137" i="24" s="1"/>
  <c r="B43" i="24"/>
  <c r="B74" i="24" s="1"/>
  <c r="B105" i="24" s="1"/>
  <c r="B136" i="24" s="1"/>
  <c r="E7" i="24"/>
  <c r="F7" i="24" s="1"/>
  <c r="G7" i="24" s="1"/>
  <c r="H7" i="24" s="1"/>
  <c r="I7" i="24" s="1"/>
  <c r="J7" i="24" s="1"/>
  <c r="K7" i="24" s="1"/>
  <c r="L7" i="24" s="1"/>
  <c r="M7" i="24" s="1"/>
  <c r="M3" i="24"/>
  <c r="L3" i="24"/>
  <c r="K3" i="24"/>
  <c r="J3" i="24"/>
  <c r="I3" i="24"/>
  <c r="H3" i="24"/>
  <c r="G3" i="24"/>
  <c r="G4" i="24" s="1"/>
  <c r="F3" i="24"/>
  <c r="E4" i="24" s="1"/>
  <c r="E3" i="24"/>
  <c r="B3" i="24"/>
  <c r="M2" i="24"/>
  <c r="L2" i="24"/>
  <c r="K2" i="24"/>
  <c r="J2" i="24"/>
  <c r="I2" i="24"/>
  <c r="H2" i="24"/>
  <c r="G2" i="24"/>
  <c r="F2" i="24"/>
  <c r="E2" i="24"/>
  <c r="I64" i="23"/>
  <c r="H64" i="23"/>
  <c r="G64" i="23"/>
  <c r="I63" i="23"/>
  <c r="H63" i="23"/>
  <c r="G63" i="23"/>
  <c r="I62" i="23"/>
  <c r="H62" i="23"/>
  <c r="G62" i="23"/>
  <c r="I61" i="23"/>
  <c r="H61" i="23"/>
  <c r="G61" i="23"/>
  <c r="I60" i="23"/>
  <c r="H60" i="23"/>
  <c r="G60" i="23"/>
  <c r="I59" i="23"/>
  <c r="H59" i="23"/>
  <c r="H65" i="23" s="1"/>
  <c r="H66" i="23" s="1"/>
  <c r="G59" i="23"/>
  <c r="F58" i="23"/>
  <c r="F65" i="23" s="1"/>
  <c r="F66" i="23" s="1"/>
  <c r="E58" i="23"/>
  <c r="E65" i="23" s="1"/>
  <c r="D58" i="23"/>
  <c r="D65" i="23" s="1"/>
  <c r="D66" i="23" s="1"/>
  <c r="I54" i="23"/>
  <c r="H54" i="23"/>
  <c r="G54" i="23"/>
  <c r="F54" i="23"/>
  <c r="F52" i="23"/>
  <c r="E52" i="23"/>
  <c r="D52" i="23"/>
  <c r="F51" i="23"/>
  <c r="E51" i="23"/>
  <c r="D51" i="23"/>
  <c r="N49" i="23"/>
  <c r="N48" i="23"/>
  <c r="P48" i="23" s="1"/>
  <c r="N47" i="23"/>
  <c r="P47" i="23" s="1"/>
  <c r="F46" i="23"/>
  <c r="F53" i="23" s="1"/>
  <c r="E46" i="23"/>
  <c r="E53" i="23" s="1"/>
  <c r="E54" i="23" s="1"/>
  <c r="D46" i="23"/>
  <c r="I40" i="23"/>
  <c r="H40" i="23"/>
  <c r="G40" i="23"/>
  <c r="F40" i="23"/>
  <c r="F41" i="23" s="1"/>
  <c r="F42" i="23" s="1"/>
  <c r="E40" i="23"/>
  <c r="I39" i="23"/>
  <c r="H39" i="23"/>
  <c r="G39" i="23"/>
  <c r="E39" i="23"/>
  <c r="E41" i="23" s="1"/>
  <c r="E42" i="23" s="1"/>
  <c r="D39" i="23"/>
  <c r="D41" i="23" s="1"/>
  <c r="I38" i="23"/>
  <c r="H38" i="23"/>
  <c r="G38" i="23"/>
  <c r="I37" i="23"/>
  <c r="H37" i="23"/>
  <c r="G37" i="23"/>
  <c r="I36" i="23"/>
  <c r="H36" i="23"/>
  <c r="G36" i="23"/>
  <c r="I35" i="23"/>
  <c r="H35" i="23"/>
  <c r="G35" i="23"/>
  <c r="G41" i="23" s="1"/>
  <c r="G42" i="23" s="1"/>
  <c r="F30" i="23"/>
  <c r="B29" i="23"/>
  <c r="B41" i="23" s="1"/>
  <c r="B53" i="23" s="1"/>
  <c r="B65" i="23" s="1"/>
  <c r="I28" i="23"/>
  <c r="H28" i="23"/>
  <c r="G28" i="23"/>
  <c r="D28" i="23"/>
  <c r="B28" i="23"/>
  <c r="B40" i="23" s="1"/>
  <c r="B52" i="23" s="1"/>
  <c r="B64" i="23" s="1"/>
  <c r="I27" i="23"/>
  <c r="H27" i="23"/>
  <c r="G27" i="23"/>
  <c r="E27" i="23"/>
  <c r="D27" i="23"/>
  <c r="B27" i="23"/>
  <c r="B39" i="23" s="1"/>
  <c r="B51" i="23" s="1"/>
  <c r="B63" i="23" s="1"/>
  <c r="I26" i="23"/>
  <c r="H26" i="23"/>
  <c r="G26" i="23"/>
  <c r="B26" i="23"/>
  <c r="B38" i="23" s="1"/>
  <c r="B50" i="23" s="1"/>
  <c r="B62" i="23" s="1"/>
  <c r="I25" i="23"/>
  <c r="H25" i="23"/>
  <c r="G25" i="23"/>
  <c r="B25" i="23"/>
  <c r="B37" i="23" s="1"/>
  <c r="B49" i="23" s="1"/>
  <c r="B61" i="23" s="1"/>
  <c r="I24" i="23"/>
  <c r="H24" i="23"/>
  <c r="G24" i="23"/>
  <c r="B24" i="23"/>
  <c r="B36" i="23" s="1"/>
  <c r="B48" i="23" s="1"/>
  <c r="B60" i="23" s="1"/>
  <c r="I23" i="23"/>
  <c r="H23" i="23"/>
  <c r="G23" i="23"/>
  <c r="G29" i="23" s="1"/>
  <c r="G30" i="23" s="1"/>
  <c r="B23" i="23"/>
  <c r="B35" i="23" s="1"/>
  <c r="B47" i="23" s="1"/>
  <c r="B59" i="23" s="1"/>
  <c r="F22" i="23"/>
  <c r="F29" i="23" s="1"/>
  <c r="E22" i="23"/>
  <c r="E29" i="23" s="1"/>
  <c r="E30" i="23" s="1"/>
  <c r="D22" i="23"/>
  <c r="D29" i="23" s="1"/>
  <c r="B22" i="23"/>
  <c r="B34" i="23" s="1"/>
  <c r="B46" i="23" s="1"/>
  <c r="B58" i="23" s="1"/>
  <c r="B21" i="23"/>
  <c r="B33" i="23" s="1"/>
  <c r="B45" i="23" s="1"/>
  <c r="B57" i="23" s="1"/>
  <c r="I16" i="23"/>
  <c r="H16" i="23"/>
  <c r="G16" i="23"/>
  <c r="D16" i="23"/>
  <c r="I15" i="23"/>
  <c r="H15" i="23"/>
  <c r="G15" i="23"/>
  <c r="F15" i="23"/>
  <c r="E15" i="23"/>
  <c r="D15" i="23"/>
  <c r="I14" i="23"/>
  <c r="H14" i="23"/>
  <c r="G14" i="23"/>
  <c r="I13" i="23"/>
  <c r="H13" i="23"/>
  <c r="G13" i="23"/>
  <c r="I12" i="23"/>
  <c r="H12" i="23"/>
  <c r="G12" i="23"/>
  <c r="I11" i="23"/>
  <c r="H11" i="23"/>
  <c r="H17" i="23" s="1"/>
  <c r="G11" i="23"/>
  <c r="F10" i="23"/>
  <c r="E10" i="23"/>
  <c r="D10" i="23"/>
  <c r="D17" i="23" s="1"/>
  <c r="E7" i="23"/>
  <c r="F7" i="23" s="1"/>
  <c r="G7" i="23" s="1"/>
  <c r="H7" i="23" s="1"/>
  <c r="I7" i="23" s="1"/>
  <c r="J7" i="23" s="1"/>
  <c r="K7" i="23" s="1"/>
  <c r="L7" i="23" s="1"/>
  <c r="M7" i="23" s="1"/>
  <c r="M3" i="23"/>
  <c r="L3" i="23"/>
  <c r="L5" i="23" s="1"/>
  <c r="L40" i="23" s="1"/>
  <c r="K3" i="23"/>
  <c r="J3" i="23"/>
  <c r="I3" i="23"/>
  <c r="H3" i="23"/>
  <c r="G3" i="23"/>
  <c r="G4" i="23" s="1"/>
  <c r="F3" i="23"/>
  <c r="E4" i="23" s="1"/>
  <c r="E3" i="23"/>
  <c r="B3" i="23"/>
  <c r="M2" i="23"/>
  <c r="L2" i="23"/>
  <c r="K2" i="23"/>
  <c r="J2" i="23"/>
  <c r="I2" i="23"/>
  <c r="H2" i="23"/>
  <c r="G2" i="23"/>
  <c r="F2" i="23"/>
  <c r="E2" i="23"/>
  <c r="N99" i="24" l="1"/>
  <c r="I74" i="23" s="1"/>
  <c r="E17" i="23"/>
  <c r="F17" i="23"/>
  <c r="F18" i="23" s="1"/>
  <c r="I29" i="23"/>
  <c r="I30" i="23" s="1"/>
  <c r="G17" i="23"/>
  <c r="F77" i="33" s="1"/>
  <c r="D53" i="23"/>
  <c r="G65" i="23"/>
  <c r="D84" i="24"/>
  <c r="I17" i="23"/>
  <c r="H29" i="23"/>
  <c r="H30" i="23" s="1"/>
  <c r="H41" i="23"/>
  <c r="H42" i="23" s="1"/>
  <c r="I65" i="23"/>
  <c r="I66" i="23" s="1"/>
  <c r="E115" i="24"/>
  <c r="N130" i="24"/>
  <c r="I75" i="23" s="1"/>
  <c r="N161" i="24"/>
  <c r="I41" i="23"/>
  <c r="I42" i="23" s="1"/>
  <c r="N37" i="24"/>
  <c r="D146" i="24"/>
  <c r="P49" i="23"/>
  <c r="D75" i="23" s="1"/>
  <c r="E16" i="26"/>
  <c r="D115" i="24"/>
  <c r="F115" i="24"/>
  <c r="H12" i="33" s="1"/>
  <c r="O62" i="23"/>
  <c r="E84" i="24"/>
  <c r="E146" i="24"/>
  <c r="E18" i="23"/>
  <c r="F146" i="24"/>
  <c r="M72" i="29"/>
  <c r="M69" i="33"/>
  <c r="N69" i="33" s="1"/>
  <c r="F90" i="33"/>
  <c r="H59" i="33"/>
  <c r="I59" i="33" s="1"/>
  <c r="D88" i="33"/>
  <c r="H88" i="33"/>
  <c r="H89" i="33"/>
  <c r="D54" i="23"/>
  <c r="F12" i="33"/>
  <c r="F44" i="33"/>
  <c r="F88" i="33"/>
  <c r="D18" i="23"/>
  <c r="D45" i="33"/>
  <c r="F45" i="33"/>
  <c r="D89" i="33"/>
  <c r="F46" i="33"/>
  <c r="F91" i="33"/>
  <c r="D48" i="33"/>
  <c r="D92" i="33"/>
  <c r="H92" i="33"/>
  <c r="H48" i="33"/>
  <c r="I48" i="33" s="1"/>
  <c r="D42" i="23"/>
  <c r="F48" i="33"/>
  <c r="D44" i="33"/>
  <c r="F92" i="33"/>
  <c r="H70" i="33"/>
  <c r="I70" i="33" s="1"/>
  <c r="L35" i="23"/>
  <c r="L41" i="23" s="1"/>
  <c r="L59" i="23"/>
  <c r="L60" i="23"/>
  <c r="M5" i="23"/>
  <c r="F89" i="33"/>
  <c r="D46" i="33"/>
  <c r="D90" i="33"/>
  <c r="H90" i="33"/>
  <c r="D47" i="33"/>
  <c r="H91" i="33"/>
  <c r="F13" i="33"/>
  <c r="E66" i="23"/>
  <c r="M47" i="33"/>
  <c r="N47" i="33" s="1"/>
  <c r="H11" i="26"/>
  <c r="H13" i="26"/>
  <c r="I16" i="26"/>
  <c r="M16" i="26"/>
  <c r="K16" i="26"/>
  <c r="L16" i="26"/>
  <c r="B57" i="26"/>
  <c r="H4" i="26"/>
  <c r="I4" i="26" s="1"/>
  <c r="J4" i="26" s="1"/>
  <c r="N57" i="26"/>
  <c r="E53" i="24"/>
  <c r="F53" i="24"/>
  <c r="F22" i="24"/>
  <c r="E22" i="24"/>
  <c r="D53" i="24"/>
  <c r="N41" i="24"/>
  <c r="H4" i="24"/>
  <c r="I4" i="24" s="1"/>
  <c r="J4" i="24" s="1"/>
  <c r="N10" i="24"/>
  <c r="N46" i="23"/>
  <c r="N22" i="23"/>
  <c r="N58" i="23"/>
  <c r="N50" i="23"/>
  <c r="P50" i="23" s="1"/>
  <c r="E75" i="23" s="1"/>
  <c r="N51" i="23"/>
  <c r="P51" i="23" s="1"/>
  <c r="F75" i="23" s="1"/>
  <c r="N10" i="23"/>
  <c r="N52" i="23"/>
  <c r="P52" i="23" s="1"/>
  <c r="G75" i="23" s="1"/>
  <c r="H4" i="23"/>
  <c r="I4" i="23" s="1"/>
  <c r="J4" i="23" s="1"/>
  <c r="N34" i="23"/>
  <c r="H75" i="23" l="1"/>
  <c r="H78" i="33"/>
  <c r="I78" i="33" s="1"/>
  <c r="H21" i="33"/>
  <c r="I21" i="33" s="1"/>
  <c r="L65" i="23"/>
  <c r="M29" i="23"/>
  <c r="H80" i="33"/>
  <c r="H23" i="33"/>
  <c r="I23" i="33" s="1"/>
  <c r="N68" i="24"/>
  <c r="I73" i="23" s="1"/>
  <c r="F9" i="33"/>
  <c r="H13" i="33"/>
  <c r="H22" i="33"/>
  <c r="I22" i="33" s="1"/>
  <c r="H79" i="33"/>
  <c r="I79" i="33" s="1"/>
  <c r="F78" i="33"/>
  <c r="D77" i="33"/>
  <c r="J75" i="23"/>
  <c r="F11" i="33"/>
  <c r="G11" i="33" s="1"/>
  <c r="G18" i="23"/>
  <c r="H11" i="33"/>
  <c r="H24" i="33"/>
  <c r="I24" i="33" s="1"/>
  <c r="H81" i="33"/>
  <c r="I81" i="33" s="1"/>
  <c r="G66" i="23"/>
  <c r="N53" i="23"/>
  <c r="P53" i="23" s="1"/>
  <c r="O63" i="23"/>
  <c r="H16" i="26"/>
  <c r="H9" i="33"/>
  <c r="H31" i="33" s="1"/>
  <c r="K18" i="23"/>
  <c r="C20" i="33"/>
  <c r="E46" i="33"/>
  <c r="L18" i="23"/>
  <c r="F113" i="33"/>
  <c r="G113" i="33" s="1"/>
  <c r="J91" i="33"/>
  <c r="G91" i="33"/>
  <c r="G90" i="33"/>
  <c r="H113" i="33"/>
  <c r="I113" i="33" s="1"/>
  <c r="I91" i="33"/>
  <c r="D101" i="33"/>
  <c r="D112" i="33" s="1"/>
  <c r="E112" i="33" s="1"/>
  <c r="F55" i="33"/>
  <c r="F66" i="33" s="1"/>
  <c r="G46" i="33"/>
  <c r="J46" i="33"/>
  <c r="K46" i="33" s="1"/>
  <c r="M46" i="33" s="1"/>
  <c r="N46" i="33" s="1"/>
  <c r="D12" i="33"/>
  <c r="G12" i="33"/>
  <c r="I11" i="33"/>
  <c r="G89" i="33"/>
  <c r="L66" i="23"/>
  <c r="L30" i="23"/>
  <c r="H10" i="33"/>
  <c r="D13" i="33"/>
  <c r="G13" i="33"/>
  <c r="D69" i="33"/>
  <c r="E69" i="33" s="1"/>
  <c r="E47" i="33"/>
  <c r="M65" i="23"/>
  <c r="M66" i="23" s="1"/>
  <c r="F99" i="33"/>
  <c r="F57" i="33"/>
  <c r="M30" i="23"/>
  <c r="H103" i="33"/>
  <c r="D100" i="33"/>
  <c r="M54" i="23"/>
  <c r="F56" i="33"/>
  <c r="M18" i="23"/>
  <c r="L42" i="23"/>
  <c r="H99" i="33"/>
  <c r="H110" i="33" s="1"/>
  <c r="E89" i="33"/>
  <c r="J89" i="33"/>
  <c r="D9" i="33"/>
  <c r="I13" i="33"/>
  <c r="L54" i="23"/>
  <c r="F23" i="33"/>
  <c r="F59" i="33"/>
  <c r="G48" i="33"/>
  <c r="J48" i="33"/>
  <c r="K48" i="33" s="1"/>
  <c r="M48" i="33" s="1"/>
  <c r="N48" i="33" s="1"/>
  <c r="J92" i="33"/>
  <c r="E92" i="33"/>
  <c r="E45" i="33"/>
  <c r="I90" i="33"/>
  <c r="F101" i="33"/>
  <c r="G101" i="33" s="1"/>
  <c r="G92" i="33"/>
  <c r="G45" i="33"/>
  <c r="J45" i="33"/>
  <c r="K45" i="33" s="1"/>
  <c r="M45" i="33" s="1"/>
  <c r="N45" i="33" s="1"/>
  <c r="J88" i="33"/>
  <c r="H34" i="33"/>
  <c r="I34" i="33" s="1"/>
  <c r="I12" i="33"/>
  <c r="E90" i="33"/>
  <c r="J90" i="33"/>
  <c r="D103" i="33"/>
  <c r="D114" i="33" s="1"/>
  <c r="E114" i="33" s="1"/>
  <c r="I92" i="33"/>
  <c r="E48" i="33"/>
  <c r="I89" i="33"/>
  <c r="I18" i="23"/>
  <c r="K4" i="23"/>
  <c r="L4" i="23" s="1"/>
  <c r="K4" i="26"/>
  <c r="K4" i="24"/>
  <c r="L4" i="24" s="1"/>
  <c r="H33" i="33" l="1"/>
  <c r="I33" i="33" s="1"/>
  <c r="H18" i="23"/>
  <c r="C77" i="33"/>
  <c r="F81" i="33"/>
  <c r="D11" i="33"/>
  <c r="E11" i="33" s="1"/>
  <c r="D78" i="33"/>
  <c r="E78" i="33" s="1"/>
  <c r="G78" i="33"/>
  <c r="D80" i="33"/>
  <c r="E80" i="33" s="1"/>
  <c r="I80" i="33"/>
  <c r="C31" i="33"/>
  <c r="H35" i="33"/>
  <c r="I35" i="33" s="1"/>
  <c r="D57" i="33"/>
  <c r="E57" i="33" s="1"/>
  <c r="M41" i="23"/>
  <c r="D56" i="33"/>
  <c r="E56" i="33" s="1"/>
  <c r="D99" i="33"/>
  <c r="D110" i="33" s="1"/>
  <c r="F21" i="33"/>
  <c r="D55" i="33"/>
  <c r="D66" i="33" s="1"/>
  <c r="O64" i="23"/>
  <c r="O11" i="23"/>
  <c r="O69" i="23" s="1"/>
  <c r="C9" i="33"/>
  <c r="F103" i="33"/>
  <c r="G103" i="33" s="1"/>
  <c r="D59" i="33"/>
  <c r="E59" i="33" s="1"/>
  <c r="F100" i="33"/>
  <c r="G100" i="33" s="1"/>
  <c r="G57" i="33"/>
  <c r="J57" i="33"/>
  <c r="K57" i="33" s="1"/>
  <c r="M57" i="33" s="1"/>
  <c r="N57" i="33" s="1"/>
  <c r="F68" i="33"/>
  <c r="F110" i="33"/>
  <c r="G56" i="33"/>
  <c r="J56" i="33"/>
  <c r="K56" i="33" s="1"/>
  <c r="M56" i="33" s="1"/>
  <c r="N56" i="33" s="1"/>
  <c r="F67" i="33"/>
  <c r="I103" i="33"/>
  <c r="H114" i="33"/>
  <c r="I114" i="33" s="1"/>
  <c r="J99" i="33"/>
  <c r="J110" i="33" s="1"/>
  <c r="F112" i="33"/>
  <c r="G112" i="33" s="1"/>
  <c r="E13" i="33"/>
  <c r="F24" i="33"/>
  <c r="E12" i="33"/>
  <c r="K92" i="33"/>
  <c r="E100" i="33"/>
  <c r="E103" i="33"/>
  <c r="K90" i="33"/>
  <c r="K89" i="33"/>
  <c r="H100" i="33"/>
  <c r="H101" i="33"/>
  <c r="J101" i="33" s="1"/>
  <c r="C99" i="33"/>
  <c r="I20" i="33"/>
  <c r="C55" i="33"/>
  <c r="G55" i="33" s="1"/>
  <c r="G59" i="33"/>
  <c r="J59" i="33"/>
  <c r="K59" i="33" s="1"/>
  <c r="M59" i="33" s="1"/>
  <c r="N59" i="33" s="1"/>
  <c r="F70" i="33"/>
  <c r="J113" i="33"/>
  <c r="K113" i="33" s="1"/>
  <c r="K91" i="33"/>
  <c r="F20" i="33"/>
  <c r="G23" i="33"/>
  <c r="D23" i="33"/>
  <c r="E23" i="33" s="1"/>
  <c r="D111" i="33"/>
  <c r="E111" i="33" s="1"/>
  <c r="I10" i="33"/>
  <c r="H32" i="33"/>
  <c r="I32" i="33" s="1"/>
  <c r="F34" i="33"/>
  <c r="G34" i="33" s="1"/>
  <c r="E101" i="33"/>
  <c r="D68" i="33"/>
  <c r="E68" i="33" s="1"/>
  <c r="C66" i="33"/>
  <c r="C110" i="33"/>
  <c r="I31" i="33"/>
  <c r="C44" i="33"/>
  <c r="G9" i="33"/>
  <c r="I9" i="33"/>
  <c r="C88" i="33"/>
  <c r="E9" i="33"/>
  <c r="L4" i="26"/>
  <c r="M4" i="24"/>
  <c r="M4" i="23"/>
  <c r="F79" i="33" l="1"/>
  <c r="M42" i="23"/>
  <c r="F22" i="33"/>
  <c r="G81" i="33"/>
  <c r="D81" i="33"/>
  <c r="E81" i="33" s="1"/>
  <c r="I77" i="33"/>
  <c r="G77" i="33"/>
  <c r="E77" i="33"/>
  <c r="D67" i="33"/>
  <c r="E67" i="33" s="1"/>
  <c r="J103" i="33"/>
  <c r="K103" i="33" s="1"/>
  <c r="D70" i="33"/>
  <c r="E70" i="33" s="1"/>
  <c r="F111" i="33"/>
  <c r="G111" i="33" s="1"/>
  <c r="J100" i="33"/>
  <c r="K100" i="33" s="1"/>
  <c r="F114" i="33"/>
  <c r="G114" i="33" s="1"/>
  <c r="K101" i="33"/>
  <c r="J112" i="33"/>
  <c r="K112" i="33" s="1"/>
  <c r="D21" i="33"/>
  <c r="O65" i="23"/>
  <c r="G21" i="33"/>
  <c r="O12" i="23"/>
  <c r="O70" i="23" s="1"/>
  <c r="I99" i="33"/>
  <c r="E99" i="33"/>
  <c r="D24" i="33"/>
  <c r="G24" i="33"/>
  <c r="F35" i="33"/>
  <c r="G35" i="33" s="1"/>
  <c r="G99" i="33"/>
  <c r="I101" i="33"/>
  <c r="H112" i="33"/>
  <c r="I112" i="33" s="1"/>
  <c r="G67" i="33"/>
  <c r="J67" i="33"/>
  <c r="K67" i="33" s="1"/>
  <c r="M67" i="33" s="1"/>
  <c r="N67" i="33" s="1"/>
  <c r="I100" i="33"/>
  <c r="H111" i="33"/>
  <c r="I111" i="33" s="1"/>
  <c r="D20" i="33"/>
  <c r="G20" i="33"/>
  <c r="F31" i="33"/>
  <c r="G31" i="33" s="1"/>
  <c r="G70" i="33"/>
  <c r="J70" i="33"/>
  <c r="K70" i="33" s="1"/>
  <c r="M70" i="33" s="1"/>
  <c r="N70" i="33" s="1"/>
  <c r="H55" i="33"/>
  <c r="E55" i="33"/>
  <c r="D34" i="33"/>
  <c r="E34" i="33" s="1"/>
  <c r="K99" i="33"/>
  <c r="G68" i="33"/>
  <c r="J68" i="33"/>
  <c r="K68" i="33" s="1"/>
  <c r="M68" i="33" s="1"/>
  <c r="N68" i="33" s="1"/>
  <c r="H66" i="33"/>
  <c r="E66" i="33"/>
  <c r="G66" i="33"/>
  <c r="G88" i="33"/>
  <c r="I88" i="33"/>
  <c r="K88" i="33"/>
  <c r="E88" i="33"/>
  <c r="H44" i="33"/>
  <c r="E44" i="33"/>
  <c r="G44" i="33"/>
  <c r="I110" i="33"/>
  <c r="G110" i="33"/>
  <c r="E110" i="33"/>
  <c r="K110" i="33"/>
  <c r="M4" i="26"/>
  <c r="N64" i="23"/>
  <c r="N63" i="23"/>
  <c r="N62" i="23"/>
  <c r="N61" i="23"/>
  <c r="N40" i="23"/>
  <c r="P40" i="23" s="1"/>
  <c r="G74" i="23" s="1"/>
  <c r="N39" i="23"/>
  <c r="P39" i="23" s="1"/>
  <c r="F74" i="23" s="1"/>
  <c r="N38" i="23"/>
  <c r="P38" i="23" s="1"/>
  <c r="E74" i="23" s="1"/>
  <c r="N37" i="23"/>
  <c r="N24" i="23"/>
  <c r="N13" i="23"/>
  <c r="N12" i="23"/>
  <c r="N11" i="23"/>
  <c r="N28" i="23"/>
  <c r="N27" i="23"/>
  <c r="N26" i="23"/>
  <c r="N25" i="23"/>
  <c r="N16" i="23"/>
  <c r="N59" i="23"/>
  <c r="N35" i="23"/>
  <c r="P35" i="23" s="1"/>
  <c r="N15" i="23"/>
  <c r="N60" i="23"/>
  <c r="N36" i="23"/>
  <c r="P36" i="23" s="1"/>
  <c r="N23" i="23"/>
  <c r="N14" i="23"/>
  <c r="N69" i="23" l="1"/>
  <c r="F33" i="33"/>
  <c r="G33" i="33" s="1"/>
  <c r="G22" i="33"/>
  <c r="D22" i="33"/>
  <c r="I76" i="23"/>
  <c r="D79" i="33"/>
  <c r="E79" i="33" s="1"/>
  <c r="G79" i="33"/>
  <c r="P28" i="23"/>
  <c r="G73" i="23" s="1"/>
  <c r="N74" i="23"/>
  <c r="P27" i="23"/>
  <c r="F73" i="23" s="1"/>
  <c r="N73" i="23"/>
  <c r="P26" i="23"/>
  <c r="E73" i="23" s="1"/>
  <c r="N72" i="23"/>
  <c r="P25" i="23"/>
  <c r="N71" i="23"/>
  <c r="P24" i="23"/>
  <c r="N70" i="23"/>
  <c r="P11" i="23"/>
  <c r="N17" i="23"/>
  <c r="J114" i="33"/>
  <c r="K114" i="33" s="1"/>
  <c r="N65" i="23"/>
  <c r="P65" i="23" s="1"/>
  <c r="P23" i="23"/>
  <c r="N29" i="23"/>
  <c r="P37" i="23"/>
  <c r="D74" i="23" s="1"/>
  <c r="H74" i="23" s="1"/>
  <c r="J74" i="23" s="1"/>
  <c r="N41" i="23"/>
  <c r="P41" i="23" s="1"/>
  <c r="J111" i="33"/>
  <c r="K111" i="33" s="1"/>
  <c r="P61" i="23"/>
  <c r="O13" i="23"/>
  <c r="O71" i="23" s="1"/>
  <c r="E21" i="33"/>
  <c r="P59" i="23"/>
  <c r="P63" i="23"/>
  <c r="F76" i="23" s="1"/>
  <c r="P62" i="23"/>
  <c r="E76" i="23" s="1"/>
  <c r="P60" i="23"/>
  <c r="P12" i="23"/>
  <c r="R24" i="23" s="1"/>
  <c r="P64" i="23"/>
  <c r="G76" i="23" s="1"/>
  <c r="E24" i="33"/>
  <c r="D35" i="33"/>
  <c r="E35" i="33" s="1"/>
  <c r="J55" i="33"/>
  <c r="K55" i="33" s="1"/>
  <c r="I55" i="33"/>
  <c r="E20" i="33"/>
  <c r="D31" i="33"/>
  <c r="E31" i="33" s="1"/>
  <c r="I44" i="33"/>
  <c r="J44" i="33"/>
  <c r="K44" i="33" s="1"/>
  <c r="I66" i="33"/>
  <c r="J66" i="33"/>
  <c r="K66" i="33" s="1"/>
  <c r="R23" i="23" l="1"/>
  <c r="E22" i="33"/>
  <c r="D33" i="33"/>
  <c r="E33" i="33" s="1"/>
  <c r="P13" i="23"/>
  <c r="D72" i="23" s="1"/>
  <c r="N75" i="23"/>
  <c r="D73" i="23"/>
  <c r="H73" i="23" s="1"/>
  <c r="J73" i="23" s="1"/>
  <c r="D76" i="23"/>
  <c r="H76" i="23" s="1"/>
  <c r="J76" i="23" s="1"/>
  <c r="P69" i="23"/>
  <c r="O14" i="23"/>
  <c r="O72" i="23" s="1"/>
  <c r="P71" i="23"/>
  <c r="P70" i="23"/>
  <c r="M55" i="33"/>
  <c r="N55" i="33" s="1"/>
  <c r="M66" i="33"/>
  <c r="N66" i="33" s="1"/>
  <c r="M44" i="33"/>
  <c r="N44" i="33" s="1"/>
  <c r="R25" i="23" l="1"/>
  <c r="S25" i="23" s="1"/>
  <c r="O15" i="23"/>
  <c r="O73" i="23" s="1"/>
  <c r="P72" i="23"/>
  <c r="E78" i="23" s="1"/>
  <c r="P14" i="23"/>
  <c r="D78" i="23"/>
  <c r="G3" i="19"/>
  <c r="H3" i="19"/>
  <c r="I3" i="19"/>
  <c r="J3" i="19"/>
  <c r="K3" i="19"/>
  <c r="L3" i="19"/>
  <c r="M3" i="19"/>
  <c r="B39" i="20"/>
  <c r="B46" i="20" s="1"/>
  <c r="B53" i="20" s="1"/>
  <c r="B60" i="20" s="1"/>
  <c r="B67" i="20" s="1"/>
  <c r="B74" i="20" s="1"/>
  <c r="B81" i="20" s="1"/>
  <c r="B88" i="20" s="1"/>
  <c r="B40" i="20"/>
  <c r="B47" i="20" s="1"/>
  <c r="B54" i="20" s="1"/>
  <c r="B61" i="20" s="1"/>
  <c r="B68" i="20" s="1"/>
  <c r="B75" i="20" s="1"/>
  <c r="B82" i="20" s="1"/>
  <c r="B89" i="20" s="1"/>
  <c r="B41" i="20"/>
  <c r="B48" i="20" s="1"/>
  <c r="B55" i="20" s="1"/>
  <c r="B62" i="20" s="1"/>
  <c r="B69" i="20" s="1"/>
  <c r="B76" i="20" s="1"/>
  <c r="B83" i="20" s="1"/>
  <c r="B90" i="20" s="1"/>
  <c r="B42" i="20"/>
  <c r="B49" i="20" s="1"/>
  <c r="B56" i="20" s="1"/>
  <c r="B63" i="20" s="1"/>
  <c r="B70" i="20" s="1"/>
  <c r="B77" i="20" s="1"/>
  <c r="B84" i="20" s="1"/>
  <c r="B91" i="20" s="1"/>
  <c r="B38" i="20"/>
  <c r="B45" i="20" s="1"/>
  <c r="B52" i="20" s="1"/>
  <c r="B59" i="20" s="1"/>
  <c r="B66" i="20" s="1"/>
  <c r="B73" i="20" s="1"/>
  <c r="B80" i="20" s="1"/>
  <c r="B87" i="20" s="1"/>
  <c r="E72" i="23" l="1"/>
  <c r="R26" i="23"/>
  <c r="O16" i="23"/>
  <c r="O74" i="23" s="1"/>
  <c r="P73" i="23"/>
  <c r="F78" i="23" s="1"/>
  <c r="P15" i="23"/>
  <c r="H32" i="20"/>
  <c r="I32" i="20"/>
  <c r="J32" i="20"/>
  <c r="K32" i="20"/>
  <c r="L32" i="20"/>
  <c r="M32" i="20"/>
  <c r="N32" i="20"/>
  <c r="H33" i="20"/>
  <c r="I33" i="20"/>
  <c r="J33" i="20"/>
  <c r="K33" i="20"/>
  <c r="L33" i="20"/>
  <c r="M33" i="20"/>
  <c r="N33" i="20"/>
  <c r="H34" i="20"/>
  <c r="I34" i="20"/>
  <c r="J34" i="20"/>
  <c r="K34" i="20"/>
  <c r="L34" i="20"/>
  <c r="M34" i="20"/>
  <c r="N34" i="20"/>
  <c r="H35" i="20"/>
  <c r="I35" i="20"/>
  <c r="J35" i="20"/>
  <c r="K35" i="20"/>
  <c r="L35" i="20"/>
  <c r="M35" i="20"/>
  <c r="N35" i="20"/>
  <c r="H31" i="20"/>
  <c r="I31" i="20"/>
  <c r="J31" i="20"/>
  <c r="K31" i="20"/>
  <c r="L31" i="20"/>
  <c r="M31" i="20"/>
  <c r="N31" i="20"/>
  <c r="F52" i="20"/>
  <c r="G52" i="20"/>
  <c r="E52" i="20"/>
  <c r="F45" i="20"/>
  <c r="G45" i="20"/>
  <c r="E45" i="20"/>
  <c r="F38" i="20"/>
  <c r="G38" i="20"/>
  <c r="E38" i="20"/>
  <c r="E53" i="20"/>
  <c r="F53" i="20"/>
  <c r="G53" i="20"/>
  <c r="E54" i="20"/>
  <c r="F54" i="20"/>
  <c r="G54" i="20"/>
  <c r="E56" i="20"/>
  <c r="F56" i="20"/>
  <c r="G56" i="20"/>
  <c r="E46" i="20"/>
  <c r="F46" i="20"/>
  <c r="G46" i="20"/>
  <c r="E47" i="20"/>
  <c r="F47" i="20"/>
  <c r="G47" i="20"/>
  <c r="E49" i="20"/>
  <c r="F49" i="20"/>
  <c r="G49" i="20"/>
  <c r="E39" i="20"/>
  <c r="F39" i="20"/>
  <c r="G39" i="20"/>
  <c r="E40" i="20"/>
  <c r="F40" i="20"/>
  <c r="G40" i="20"/>
  <c r="E42" i="20"/>
  <c r="F42" i="20"/>
  <c r="G42" i="20"/>
  <c r="O17" i="23" l="1"/>
  <c r="P74" i="23"/>
  <c r="G78" i="23" s="1"/>
  <c r="H78" i="23" s="1"/>
  <c r="P16" i="23"/>
  <c r="F72" i="23"/>
  <c r="R27" i="23"/>
  <c r="H62" i="20"/>
  <c r="I62" i="20"/>
  <c r="J62" i="20"/>
  <c r="K62" i="20"/>
  <c r="L62" i="20"/>
  <c r="M62" i="20"/>
  <c r="N62" i="20"/>
  <c r="F28" i="20"/>
  <c r="G28" i="20" s="1"/>
  <c r="H28" i="20" s="1"/>
  <c r="I28" i="20" s="1"/>
  <c r="J28" i="20" s="1"/>
  <c r="K28" i="20" s="1"/>
  <c r="L28" i="20" s="1"/>
  <c r="M28" i="20" s="1"/>
  <c r="N28" i="20" s="1"/>
  <c r="N58" i="19"/>
  <c r="N57" i="19"/>
  <c r="N56" i="19"/>
  <c r="I72" i="23" l="1"/>
  <c r="O75" i="23"/>
  <c r="I78" i="23" s="1"/>
  <c r="J78" i="23" s="1"/>
  <c r="G72" i="23"/>
  <c r="H72" i="23" s="1"/>
  <c r="R28" i="23"/>
  <c r="R29" i="23" s="1"/>
  <c r="P17" i="23"/>
  <c r="C21" i="19"/>
  <c r="E9" i="20" s="1"/>
  <c r="E18" i="20" s="1"/>
  <c r="J18" i="20" s="1"/>
  <c r="K18" i="20" s="1"/>
  <c r="P75" i="23" l="1"/>
  <c r="J72" i="23"/>
  <c r="H19" i="19"/>
  <c r="I87" i="20" s="1"/>
  <c r="I19" i="19"/>
  <c r="J87" i="20" s="1"/>
  <c r="G19" i="19"/>
  <c r="H87" i="20" s="1"/>
  <c r="E19" i="19"/>
  <c r="F87" i="20" s="1"/>
  <c r="F19" i="19"/>
  <c r="G87" i="20" s="1"/>
  <c r="D19" i="19"/>
  <c r="E87" i="20" s="1"/>
  <c r="H11" i="19" l="1"/>
  <c r="I38" i="20" s="1"/>
  <c r="I11" i="19"/>
  <c r="J38" i="20" s="1"/>
  <c r="H12" i="19"/>
  <c r="I45" i="20" s="1"/>
  <c r="I12" i="19"/>
  <c r="J45" i="20" s="1"/>
  <c r="H13" i="19"/>
  <c r="I52" i="20" s="1"/>
  <c r="I13" i="19"/>
  <c r="J52" i="20" s="1"/>
  <c r="H14" i="19"/>
  <c r="I59" i="20" s="1"/>
  <c r="I14" i="19"/>
  <c r="J59" i="20" s="1"/>
  <c r="H15" i="19"/>
  <c r="I66" i="20" s="1"/>
  <c r="I15" i="19"/>
  <c r="J66" i="20" s="1"/>
  <c r="H16" i="19"/>
  <c r="I73" i="20" s="1"/>
  <c r="I16" i="19"/>
  <c r="J73" i="20" s="1"/>
  <c r="H17" i="19"/>
  <c r="I80" i="20" s="1"/>
  <c r="I17" i="19"/>
  <c r="J80" i="20" s="1"/>
  <c r="G12" i="19"/>
  <c r="H45" i="20" s="1"/>
  <c r="G13" i="19"/>
  <c r="H52" i="20" s="1"/>
  <c r="G14" i="19"/>
  <c r="H59" i="20" s="1"/>
  <c r="G15" i="19"/>
  <c r="H66" i="20" s="1"/>
  <c r="G16" i="19"/>
  <c r="H73" i="20" s="1"/>
  <c r="G17" i="19"/>
  <c r="H80" i="20" s="1"/>
  <c r="G11" i="19"/>
  <c r="H38" i="20" s="1"/>
  <c r="D15" i="19"/>
  <c r="E66" i="20" s="1"/>
  <c r="E15" i="19"/>
  <c r="F66" i="20" s="1"/>
  <c r="F15" i="19"/>
  <c r="G66" i="20" s="1"/>
  <c r="D16" i="19"/>
  <c r="E73" i="20" s="1"/>
  <c r="E16" i="19"/>
  <c r="F73" i="20" s="1"/>
  <c r="F16" i="19"/>
  <c r="G73" i="20" s="1"/>
  <c r="D17" i="19"/>
  <c r="E80" i="20" s="1"/>
  <c r="E17" i="19"/>
  <c r="F80" i="20" s="1"/>
  <c r="F17" i="19"/>
  <c r="G80" i="20" s="1"/>
  <c r="E14" i="19"/>
  <c r="F59" i="20" s="1"/>
  <c r="F14" i="19"/>
  <c r="G59" i="20" s="1"/>
  <c r="D14" i="19"/>
  <c r="E59" i="20" s="1"/>
  <c r="E10" i="19"/>
  <c r="F31" i="20" s="1"/>
  <c r="F10" i="19"/>
  <c r="G31" i="20" s="1"/>
  <c r="D10" i="19"/>
  <c r="E31" i="20" s="1"/>
  <c r="F2" i="19"/>
  <c r="G2" i="19"/>
  <c r="H2" i="19"/>
  <c r="I2" i="19"/>
  <c r="J2" i="19"/>
  <c r="K2" i="19"/>
  <c r="L2" i="19"/>
  <c r="M2" i="19"/>
  <c r="F3" i="19"/>
  <c r="E4" i="19" s="1"/>
  <c r="G4" i="19"/>
  <c r="H4" i="19" s="1"/>
  <c r="E3" i="19"/>
  <c r="E2" i="19"/>
  <c r="B3" i="19"/>
  <c r="I4" i="19" l="1"/>
  <c r="J4" i="19" s="1"/>
  <c r="K4" i="19" s="1"/>
  <c r="L4" i="19" s="1"/>
  <c r="M4" i="19" s="1"/>
  <c r="N10" i="19"/>
  <c r="O31" i="20" s="1"/>
  <c r="H64" i="19"/>
  <c r="I90" i="20" s="1"/>
  <c r="I64" i="19"/>
  <c r="J90" i="20" s="1"/>
  <c r="G64" i="19"/>
  <c r="H90" i="20" s="1"/>
  <c r="E64" i="19"/>
  <c r="F90" i="20" s="1"/>
  <c r="F64" i="19"/>
  <c r="G90" i="20" s="1"/>
  <c r="D64" i="19"/>
  <c r="E90" i="20" s="1"/>
  <c r="H62" i="19"/>
  <c r="I83" i="20" s="1"/>
  <c r="I62" i="19"/>
  <c r="J83" i="20" s="1"/>
  <c r="G62" i="19"/>
  <c r="H83" i="20" s="1"/>
  <c r="E55" i="19"/>
  <c r="F34" i="20" s="1"/>
  <c r="F55" i="19"/>
  <c r="G34" i="20" s="1"/>
  <c r="E59" i="19"/>
  <c r="F62" i="20" s="1"/>
  <c r="F59" i="19"/>
  <c r="G62" i="20" s="1"/>
  <c r="E60" i="19"/>
  <c r="F60" i="19"/>
  <c r="E61" i="19"/>
  <c r="F61" i="19"/>
  <c r="E62" i="19"/>
  <c r="F83" i="20" s="1"/>
  <c r="F62" i="19"/>
  <c r="G83" i="20" s="1"/>
  <c r="D60" i="19"/>
  <c r="D61" i="19"/>
  <c r="D62" i="19"/>
  <c r="E83" i="20" s="1"/>
  <c r="D59" i="19"/>
  <c r="D55" i="19"/>
  <c r="C66" i="19"/>
  <c r="E12" i="20" s="1"/>
  <c r="E21" i="20" s="1"/>
  <c r="E62" i="20" l="1"/>
  <c r="N59" i="19"/>
  <c r="O62" i="20" s="1"/>
  <c r="E34" i="20"/>
  <c r="N55" i="19"/>
  <c r="O34" i="20" s="1"/>
  <c r="N60" i="19"/>
  <c r="N61" i="19"/>
  <c r="J64" i="19"/>
  <c r="K90" i="20" s="1"/>
  <c r="J62" i="19"/>
  <c r="J19" i="19"/>
  <c r="K87" i="20" s="1"/>
  <c r="J14" i="19"/>
  <c r="K59" i="20" s="1"/>
  <c r="J11" i="19"/>
  <c r="K38" i="20" s="1"/>
  <c r="J13" i="19"/>
  <c r="K52" i="20" s="1"/>
  <c r="J17" i="19"/>
  <c r="K80" i="20" s="1"/>
  <c r="J12" i="19"/>
  <c r="K45" i="20" s="1"/>
  <c r="J16" i="19"/>
  <c r="K73" i="20" s="1"/>
  <c r="J15" i="19"/>
  <c r="K66" i="20" s="1"/>
  <c r="J73" i="19"/>
  <c r="J77" i="19"/>
  <c r="J43" i="19"/>
  <c r="J47" i="19"/>
  <c r="J28" i="19"/>
  <c r="J32" i="19"/>
  <c r="J72" i="19"/>
  <c r="J76" i="19"/>
  <c r="J42" i="19"/>
  <c r="J46" i="19"/>
  <c r="J27" i="19"/>
  <c r="J31" i="19"/>
  <c r="J75" i="19"/>
  <c r="J45" i="19"/>
  <c r="J30" i="19"/>
  <c r="J79" i="19"/>
  <c r="K91" i="20" s="1"/>
  <c r="J74" i="19"/>
  <c r="J71" i="19"/>
  <c r="J49" i="19"/>
  <c r="K89" i="20" s="1"/>
  <c r="J44" i="19"/>
  <c r="J41" i="19"/>
  <c r="J34" i="19"/>
  <c r="K88" i="20" s="1"/>
  <c r="J29" i="19"/>
  <c r="J26" i="19"/>
  <c r="C81" i="19"/>
  <c r="E13" i="20" s="1"/>
  <c r="E22" i="20" s="1"/>
  <c r="J22" i="20" s="1"/>
  <c r="K22" i="20" s="1"/>
  <c r="K70" i="20" l="1"/>
  <c r="K67" i="20"/>
  <c r="K46" i="20"/>
  <c r="K49" i="20"/>
  <c r="K54" i="20"/>
  <c r="K63" i="20"/>
  <c r="K53" i="20"/>
  <c r="K60" i="20"/>
  <c r="K39" i="20"/>
  <c r="K61" i="20"/>
  <c r="K74" i="20"/>
  <c r="K77" i="20"/>
  <c r="K82" i="20"/>
  <c r="K83" i="20"/>
  <c r="K40" i="20"/>
  <c r="K47" i="20"/>
  <c r="K56" i="20"/>
  <c r="K42" i="20"/>
  <c r="K68" i="20"/>
  <c r="K75" i="20"/>
  <c r="K81" i="20"/>
  <c r="K84" i="20"/>
  <c r="K41" i="19"/>
  <c r="L40" i="20" s="1"/>
  <c r="K43" i="19"/>
  <c r="L54" i="20" s="1"/>
  <c r="K34" i="19"/>
  <c r="L88" i="20" s="1"/>
  <c r="K30" i="19"/>
  <c r="L67" i="20" s="1"/>
  <c r="K76" i="19"/>
  <c r="L77" i="20" s="1"/>
  <c r="K46" i="19"/>
  <c r="L75" i="20" s="1"/>
  <c r="K29" i="19"/>
  <c r="L60" i="20" s="1"/>
  <c r="K79" i="19"/>
  <c r="L91" i="20" s="1"/>
  <c r="K75" i="19"/>
  <c r="L70" i="20" s="1"/>
  <c r="K64" i="19"/>
  <c r="L90" i="20" s="1"/>
  <c r="K62" i="19"/>
  <c r="L83" i="20" s="1"/>
  <c r="K49" i="19"/>
  <c r="L89" i="20" s="1"/>
  <c r="K45" i="19"/>
  <c r="L68" i="20" s="1"/>
  <c r="K28" i="19"/>
  <c r="L53" i="20" s="1"/>
  <c r="K32" i="19"/>
  <c r="L81" i="20" s="1"/>
  <c r="K74" i="19"/>
  <c r="L63" i="20" s="1"/>
  <c r="K71" i="19"/>
  <c r="L42" i="20" s="1"/>
  <c r="K44" i="19"/>
  <c r="L61" i="20" s="1"/>
  <c r="K19" i="19"/>
  <c r="L87" i="20" s="1"/>
  <c r="K27" i="19"/>
  <c r="L46" i="20" s="1"/>
  <c r="K31" i="19"/>
  <c r="L74" i="20" s="1"/>
  <c r="K73" i="19"/>
  <c r="L56" i="20" s="1"/>
  <c r="K77" i="19"/>
  <c r="L84" i="20" s="1"/>
  <c r="K47" i="19"/>
  <c r="L82" i="20" s="1"/>
  <c r="K72" i="19"/>
  <c r="L49" i="20" s="1"/>
  <c r="K42" i="19"/>
  <c r="L47" i="20" s="1"/>
  <c r="K26" i="19"/>
  <c r="L39" i="20" s="1"/>
  <c r="K15" i="19"/>
  <c r="L66" i="20" s="1"/>
  <c r="K14" i="19"/>
  <c r="L59" i="20" s="1"/>
  <c r="K11" i="19"/>
  <c r="L38" i="20" s="1"/>
  <c r="K13" i="19"/>
  <c r="L52" i="20" s="1"/>
  <c r="K17" i="19"/>
  <c r="L80" i="20" s="1"/>
  <c r="K12" i="19"/>
  <c r="L45" i="20" s="1"/>
  <c r="K16" i="19"/>
  <c r="L73" i="20" s="1"/>
  <c r="H79" i="19"/>
  <c r="I91" i="20" s="1"/>
  <c r="I79" i="19"/>
  <c r="J91" i="20" s="1"/>
  <c r="G79" i="19"/>
  <c r="H91" i="20" s="1"/>
  <c r="E79" i="19"/>
  <c r="F91" i="20" s="1"/>
  <c r="F79" i="19"/>
  <c r="G91" i="20" s="1"/>
  <c r="D79" i="19"/>
  <c r="E91" i="20" s="1"/>
  <c r="H71" i="19"/>
  <c r="I42" i="20" s="1"/>
  <c r="I71" i="19"/>
  <c r="J42" i="20" s="1"/>
  <c r="H72" i="19"/>
  <c r="I49" i="20" s="1"/>
  <c r="I72" i="19"/>
  <c r="J49" i="20" s="1"/>
  <c r="H73" i="19"/>
  <c r="I56" i="20" s="1"/>
  <c r="I73" i="19"/>
  <c r="J56" i="20" s="1"/>
  <c r="H74" i="19"/>
  <c r="I63" i="20" s="1"/>
  <c r="I74" i="19"/>
  <c r="J63" i="20" s="1"/>
  <c r="H75" i="19"/>
  <c r="I70" i="20" s="1"/>
  <c r="I75" i="19"/>
  <c r="J70" i="20" s="1"/>
  <c r="H76" i="19"/>
  <c r="I77" i="20" s="1"/>
  <c r="I76" i="19"/>
  <c r="J77" i="20" s="1"/>
  <c r="H77" i="19"/>
  <c r="I84" i="20" s="1"/>
  <c r="I77" i="19"/>
  <c r="J84" i="20" s="1"/>
  <c r="G72" i="19"/>
  <c r="H49" i="20" s="1"/>
  <c r="G73" i="19"/>
  <c r="H56" i="20" s="1"/>
  <c r="G74" i="19"/>
  <c r="H63" i="20" s="1"/>
  <c r="G75" i="19"/>
  <c r="H70" i="20" s="1"/>
  <c r="G76" i="19"/>
  <c r="H77" i="20" s="1"/>
  <c r="G77" i="19"/>
  <c r="H84" i="20" s="1"/>
  <c r="G71" i="19"/>
  <c r="H42" i="20" s="1"/>
  <c r="E74" i="19"/>
  <c r="F63" i="20" s="1"/>
  <c r="F74" i="19"/>
  <c r="G63" i="20" s="1"/>
  <c r="E75" i="19"/>
  <c r="F70" i="20" s="1"/>
  <c r="F75" i="19"/>
  <c r="G70" i="20" s="1"/>
  <c r="E76" i="19"/>
  <c r="F77" i="20" s="1"/>
  <c r="F76" i="19"/>
  <c r="G77" i="20" s="1"/>
  <c r="E77" i="19"/>
  <c r="F84" i="20" s="1"/>
  <c r="F77" i="19"/>
  <c r="G84" i="20" s="1"/>
  <c r="E70" i="19"/>
  <c r="F35" i="20" s="1"/>
  <c r="F70" i="19"/>
  <c r="G35" i="20" s="1"/>
  <c r="D75" i="19"/>
  <c r="E70" i="20" s="1"/>
  <c r="D76" i="19"/>
  <c r="E77" i="20" s="1"/>
  <c r="D77" i="19"/>
  <c r="E84" i="20" s="1"/>
  <c r="D74" i="19"/>
  <c r="E63" i="20" s="1"/>
  <c r="D70" i="19"/>
  <c r="E35" i="20" l="1"/>
  <c r="N70" i="19"/>
  <c r="O35" i="20" s="1"/>
  <c r="L77" i="19"/>
  <c r="M84" i="20" s="1"/>
  <c r="L43" i="19"/>
  <c r="M54" i="20" s="1"/>
  <c r="L76" i="19"/>
  <c r="L62" i="19"/>
  <c r="L46" i="19"/>
  <c r="M75" i="20" s="1"/>
  <c r="L79" i="19"/>
  <c r="M91" i="20" s="1"/>
  <c r="L75" i="19"/>
  <c r="M70" i="20" s="1"/>
  <c r="L49" i="19"/>
  <c r="M89" i="20" s="1"/>
  <c r="L45" i="19"/>
  <c r="L19" i="19"/>
  <c r="M87" i="20" s="1"/>
  <c r="L27" i="19"/>
  <c r="M46" i="20" s="1"/>
  <c r="L31" i="19"/>
  <c r="M74" i="20" s="1"/>
  <c r="L74" i="19"/>
  <c r="M63" i="20" s="1"/>
  <c r="L71" i="19"/>
  <c r="L44" i="19"/>
  <c r="M61" i="20" s="1"/>
  <c r="L41" i="19"/>
  <c r="M40" i="20" s="1"/>
  <c r="L30" i="19"/>
  <c r="M67" i="20" s="1"/>
  <c r="L73" i="19"/>
  <c r="M56" i="20" s="1"/>
  <c r="L47" i="19"/>
  <c r="M82" i="20" s="1"/>
  <c r="L29" i="19"/>
  <c r="L26" i="19"/>
  <c r="M39" i="20" s="1"/>
  <c r="L72" i="19"/>
  <c r="L64" i="19"/>
  <c r="M90" i="20" s="1"/>
  <c r="L42" i="19"/>
  <c r="M47" i="20" s="1"/>
  <c r="L34" i="19"/>
  <c r="M88" i="20" s="1"/>
  <c r="L28" i="19"/>
  <c r="M53" i="20" s="1"/>
  <c r="L32" i="19"/>
  <c r="L14" i="19"/>
  <c r="M59" i="20" s="1"/>
  <c r="L11" i="19"/>
  <c r="M38" i="20" s="1"/>
  <c r="L13" i="19"/>
  <c r="M52" i="20" s="1"/>
  <c r="L17" i="19"/>
  <c r="M80" i="20" s="1"/>
  <c r="L12" i="19"/>
  <c r="M45" i="20" s="1"/>
  <c r="L16" i="19"/>
  <c r="M73" i="20" s="1"/>
  <c r="L15" i="19"/>
  <c r="M66" i="20" s="1"/>
  <c r="C51" i="19"/>
  <c r="E11" i="20" s="1"/>
  <c r="E20" i="20" s="1"/>
  <c r="J20" i="20" s="1"/>
  <c r="K20" i="20" s="1"/>
  <c r="E49" i="19"/>
  <c r="F89" i="20" s="1"/>
  <c r="F49" i="19"/>
  <c r="G89" i="20" s="1"/>
  <c r="D49" i="19"/>
  <c r="E89" i="20" s="1"/>
  <c r="H49" i="19"/>
  <c r="I89" i="20" s="1"/>
  <c r="I49" i="19"/>
  <c r="J89" i="20" s="1"/>
  <c r="G49" i="19"/>
  <c r="H89" i="20" s="1"/>
  <c r="D47" i="19"/>
  <c r="E82" i="20" s="1"/>
  <c r="E47" i="19"/>
  <c r="F82" i="20" s="1"/>
  <c r="F47" i="19"/>
  <c r="G82" i="20" s="1"/>
  <c r="G42" i="19"/>
  <c r="H47" i="20" s="1"/>
  <c r="H42" i="19"/>
  <c r="I47" i="20" s="1"/>
  <c r="I42" i="19"/>
  <c r="J47" i="20" s="1"/>
  <c r="G43" i="19"/>
  <c r="H54" i="20" s="1"/>
  <c r="H43" i="19"/>
  <c r="I54" i="20" s="1"/>
  <c r="I43" i="19"/>
  <c r="J54" i="20" s="1"/>
  <c r="G44" i="19"/>
  <c r="H61" i="20" s="1"/>
  <c r="H44" i="19"/>
  <c r="I61" i="20" s="1"/>
  <c r="I44" i="19"/>
  <c r="J61" i="20" s="1"/>
  <c r="G45" i="19"/>
  <c r="H68" i="20" s="1"/>
  <c r="H45" i="19"/>
  <c r="I68" i="20" s="1"/>
  <c r="I45" i="19"/>
  <c r="J68" i="20" s="1"/>
  <c r="G46" i="19"/>
  <c r="H75" i="20" s="1"/>
  <c r="H46" i="19"/>
  <c r="I75" i="20" s="1"/>
  <c r="I46" i="19"/>
  <c r="J75" i="20" s="1"/>
  <c r="G47" i="19"/>
  <c r="H82" i="20" s="1"/>
  <c r="H47" i="19"/>
  <c r="I82" i="20" s="1"/>
  <c r="I47" i="19"/>
  <c r="J82" i="20" s="1"/>
  <c r="H41" i="19"/>
  <c r="I40" i="20" s="1"/>
  <c r="I41" i="19"/>
  <c r="J40" i="20" s="1"/>
  <c r="G41" i="19"/>
  <c r="H40" i="20" s="1"/>
  <c r="E44" i="19"/>
  <c r="F61" i="20" s="1"/>
  <c r="F44" i="19"/>
  <c r="G61" i="20" s="1"/>
  <c r="E45" i="19"/>
  <c r="F68" i="20" s="1"/>
  <c r="F45" i="19"/>
  <c r="G68" i="20" s="1"/>
  <c r="E46" i="19"/>
  <c r="F75" i="20" s="1"/>
  <c r="F46" i="19"/>
  <c r="G75" i="20" s="1"/>
  <c r="D45" i="19"/>
  <c r="E68" i="20" s="1"/>
  <c r="D46" i="19"/>
  <c r="E75" i="20" s="1"/>
  <c r="D44" i="19"/>
  <c r="E61" i="20" s="1"/>
  <c r="E40" i="19"/>
  <c r="F33" i="20" s="1"/>
  <c r="F40" i="19"/>
  <c r="G33" i="20" s="1"/>
  <c r="D40" i="19"/>
  <c r="E33" i="20" l="1"/>
  <c r="N40" i="19"/>
  <c r="O33" i="20" s="1"/>
  <c r="M68" i="20"/>
  <c r="M49" i="20"/>
  <c r="M42" i="20"/>
  <c r="M81" i="20"/>
  <c r="M77" i="20"/>
  <c r="M60" i="20"/>
  <c r="M83" i="20"/>
  <c r="M74" i="19"/>
  <c r="N63" i="20" s="1"/>
  <c r="M62" i="19"/>
  <c r="N83" i="20" s="1"/>
  <c r="M32" i="19"/>
  <c r="N81" i="20" s="1"/>
  <c r="M76" i="19"/>
  <c r="N77" i="20" s="1"/>
  <c r="M46" i="19"/>
  <c r="N75" i="20" s="1"/>
  <c r="M19" i="19"/>
  <c r="N87" i="20" s="1"/>
  <c r="M79" i="19"/>
  <c r="M75" i="19"/>
  <c r="N70" i="20" s="1"/>
  <c r="M49" i="19"/>
  <c r="M45" i="19"/>
  <c r="N68" i="20" s="1"/>
  <c r="M34" i="19"/>
  <c r="N88" i="20" s="1"/>
  <c r="M30" i="19"/>
  <c r="N67" i="20" s="1"/>
  <c r="M71" i="19"/>
  <c r="N42" i="20" s="1"/>
  <c r="M44" i="19"/>
  <c r="N61" i="20" s="1"/>
  <c r="M41" i="19"/>
  <c r="M29" i="19"/>
  <c r="N60" i="20" s="1"/>
  <c r="M26" i="19"/>
  <c r="N39" i="20" s="1"/>
  <c r="M73" i="19"/>
  <c r="N56" i="20" s="1"/>
  <c r="M77" i="19"/>
  <c r="N84" i="20" s="1"/>
  <c r="M64" i="19"/>
  <c r="M43" i="19"/>
  <c r="N54" i="20" s="1"/>
  <c r="M47" i="19"/>
  <c r="N82" i="20" s="1"/>
  <c r="M28" i="19"/>
  <c r="N53" i="20" s="1"/>
  <c r="M72" i="19"/>
  <c r="N49" i="20" s="1"/>
  <c r="M42" i="19"/>
  <c r="M27" i="19"/>
  <c r="N46" i="20" s="1"/>
  <c r="M31" i="19"/>
  <c r="N74" i="20" s="1"/>
  <c r="M13" i="19"/>
  <c r="N52" i="20" s="1"/>
  <c r="M17" i="19"/>
  <c r="N80" i="20" s="1"/>
  <c r="M12" i="19"/>
  <c r="N45" i="20" s="1"/>
  <c r="M16" i="19"/>
  <c r="N73" i="20" s="1"/>
  <c r="M15" i="19"/>
  <c r="N66" i="20" s="1"/>
  <c r="M14" i="19"/>
  <c r="N59" i="20" s="1"/>
  <c r="M11" i="19"/>
  <c r="N38" i="20" s="1"/>
  <c r="C36" i="19"/>
  <c r="E10" i="20" s="1"/>
  <c r="E19" i="20" s="1"/>
  <c r="J19" i="20" s="1"/>
  <c r="K19" i="20" s="1"/>
  <c r="N73" i="19" l="1"/>
  <c r="O56" i="20" s="1"/>
  <c r="H22" i="20" s="1"/>
  <c r="I22" i="20" s="1"/>
  <c r="N47" i="19"/>
  <c r="H11" i="20" s="1"/>
  <c r="N72" i="19"/>
  <c r="O49" i="20" s="1"/>
  <c r="N62" i="19"/>
  <c r="H12" i="20" s="1"/>
  <c r="N76" i="19"/>
  <c r="O77" i="20" s="1"/>
  <c r="N75" i="19"/>
  <c r="O70" i="20" s="1"/>
  <c r="N45" i="19"/>
  <c r="O68" i="20" s="1"/>
  <c r="N47" i="20"/>
  <c r="N42" i="19"/>
  <c r="O47" i="20" s="1"/>
  <c r="N49" i="19"/>
  <c r="N89" i="20"/>
  <c r="N46" i="19"/>
  <c r="O75" i="20" s="1"/>
  <c r="N44" i="19"/>
  <c r="O61" i="20" s="1"/>
  <c r="N77" i="19"/>
  <c r="N40" i="20"/>
  <c r="N41" i="19"/>
  <c r="O40" i="20" s="1"/>
  <c r="N79" i="19"/>
  <c r="N91" i="20"/>
  <c r="N64" i="19"/>
  <c r="N90" i="20"/>
  <c r="N43" i="19"/>
  <c r="O54" i="20" s="1"/>
  <c r="H20" i="20" s="1"/>
  <c r="N71" i="19"/>
  <c r="O42" i="20" s="1"/>
  <c r="N74" i="19"/>
  <c r="O63" i="20" s="1"/>
  <c r="N15" i="19"/>
  <c r="O66" i="20" s="1"/>
  <c r="N13" i="19"/>
  <c r="O52" i="20" s="1"/>
  <c r="H18" i="20" s="1"/>
  <c r="N14" i="19"/>
  <c r="O59" i="20" s="1"/>
  <c r="N17" i="19"/>
  <c r="O80" i="20" s="1"/>
  <c r="N11" i="19"/>
  <c r="O38" i="20" s="1"/>
  <c r="N12" i="19"/>
  <c r="O45" i="20" s="1"/>
  <c r="N19" i="19"/>
  <c r="O87" i="20" s="1"/>
  <c r="J9" i="20" s="1"/>
  <c r="N16" i="19"/>
  <c r="O73" i="20" s="1"/>
  <c r="O82" i="20" l="1"/>
  <c r="L22" i="20"/>
  <c r="M22" i="20" s="1"/>
  <c r="F22" i="20"/>
  <c r="G22" i="20" s="1"/>
  <c r="O83" i="20"/>
  <c r="I18" i="20"/>
  <c r="L18" i="20"/>
  <c r="M18" i="20" s="1"/>
  <c r="I20" i="20"/>
  <c r="L20" i="20"/>
  <c r="M20" i="20" s="1"/>
  <c r="F20" i="20"/>
  <c r="G20" i="20" s="1"/>
  <c r="F18" i="20"/>
  <c r="G18" i="20" s="1"/>
  <c r="O90" i="20"/>
  <c r="J12" i="20"/>
  <c r="K12" i="20" s="1"/>
  <c r="J13" i="20"/>
  <c r="K13" i="20" s="1"/>
  <c r="O91" i="20"/>
  <c r="I12" i="20"/>
  <c r="I11" i="20"/>
  <c r="J11" i="20"/>
  <c r="K11" i="20" s="1"/>
  <c r="O89" i="20"/>
  <c r="O84" i="20"/>
  <c r="H13" i="20"/>
  <c r="H9" i="20"/>
  <c r="K9" i="20"/>
  <c r="G27" i="19"/>
  <c r="H27" i="19"/>
  <c r="I46" i="20" s="1"/>
  <c r="I27" i="19"/>
  <c r="J46" i="20" s="1"/>
  <c r="G28" i="19"/>
  <c r="H28" i="19"/>
  <c r="I53" i="20" s="1"/>
  <c r="I28" i="19"/>
  <c r="J53" i="20" s="1"/>
  <c r="G29" i="19"/>
  <c r="H60" i="20" s="1"/>
  <c r="H29" i="19"/>
  <c r="I60" i="20" s="1"/>
  <c r="I29" i="19"/>
  <c r="J60" i="20" s="1"/>
  <c r="G30" i="19"/>
  <c r="H67" i="20" s="1"/>
  <c r="H30" i="19"/>
  <c r="I67" i="20" s="1"/>
  <c r="I30" i="19"/>
  <c r="J67" i="20" s="1"/>
  <c r="G31" i="19"/>
  <c r="H74" i="20" s="1"/>
  <c r="H31" i="19"/>
  <c r="I74" i="20" s="1"/>
  <c r="I31" i="19"/>
  <c r="J74" i="20" s="1"/>
  <c r="G32" i="19"/>
  <c r="H81" i="20" s="1"/>
  <c r="H32" i="19"/>
  <c r="I81" i="20" s="1"/>
  <c r="I32" i="19"/>
  <c r="J81" i="20" s="1"/>
  <c r="H26" i="19"/>
  <c r="I39" i="20" s="1"/>
  <c r="I26" i="19"/>
  <c r="J39" i="20" s="1"/>
  <c r="G26" i="19"/>
  <c r="H34" i="19"/>
  <c r="I88" i="20" s="1"/>
  <c r="I34" i="19"/>
  <c r="J88" i="20" s="1"/>
  <c r="G34" i="19"/>
  <c r="H88" i="20" s="1"/>
  <c r="E34" i="19"/>
  <c r="F88" i="20" s="1"/>
  <c r="F34" i="19"/>
  <c r="G88" i="20" s="1"/>
  <c r="D34" i="19"/>
  <c r="E88" i="20" s="1"/>
  <c r="D30" i="19"/>
  <c r="E30" i="19"/>
  <c r="F67" i="20" s="1"/>
  <c r="F30" i="19"/>
  <c r="G67" i="20" s="1"/>
  <c r="D31" i="19"/>
  <c r="E31" i="19"/>
  <c r="F74" i="20" s="1"/>
  <c r="F31" i="19"/>
  <c r="G74" i="20" s="1"/>
  <c r="D32" i="19"/>
  <c r="E32" i="19"/>
  <c r="F81" i="20" s="1"/>
  <c r="F32" i="19"/>
  <c r="G81" i="20" s="1"/>
  <c r="E29" i="19"/>
  <c r="F60" i="20" s="1"/>
  <c r="F29" i="19"/>
  <c r="G60" i="20" s="1"/>
  <c r="E25" i="19"/>
  <c r="F32" i="20" s="1"/>
  <c r="F25" i="19"/>
  <c r="G32" i="20" s="1"/>
  <c r="D25" i="19"/>
  <c r="D29" i="19"/>
  <c r="E74" i="20" l="1"/>
  <c r="N31" i="19"/>
  <c r="O74" i="20" s="1"/>
  <c r="E67" i="20"/>
  <c r="N30" i="19"/>
  <c r="O67" i="20" s="1"/>
  <c r="H53" i="20"/>
  <c r="N28" i="19"/>
  <c r="O53" i="20" s="1"/>
  <c r="H19" i="20" s="1"/>
  <c r="E32" i="20"/>
  <c r="N25" i="19"/>
  <c r="O32" i="20" s="1"/>
  <c r="H39" i="20"/>
  <c r="N26" i="19"/>
  <c r="O39" i="20" s="1"/>
  <c r="H46" i="20"/>
  <c r="N27" i="19"/>
  <c r="O46" i="20" s="1"/>
  <c r="E60" i="20"/>
  <c r="N29" i="19"/>
  <c r="O60" i="20" s="1"/>
  <c r="E81" i="20"/>
  <c r="N32" i="19"/>
  <c r="F12" i="20"/>
  <c r="G12" i="20" s="1"/>
  <c r="F11" i="20"/>
  <c r="G11" i="20" s="1"/>
  <c r="I13" i="20"/>
  <c r="F13" i="20" s="1"/>
  <c r="G13" i="20" s="1"/>
  <c r="I9" i="20"/>
  <c r="F9" i="20" s="1"/>
  <c r="G9" i="20" s="1"/>
  <c r="N34" i="19"/>
  <c r="B36" i="19"/>
  <c r="B51" i="19" s="1"/>
  <c r="B66" i="19" s="1"/>
  <c r="B81" i="19" s="1"/>
  <c r="B34" i="19"/>
  <c r="B49" i="19" s="1"/>
  <c r="B64" i="19" s="1"/>
  <c r="B79" i="19" s="1"/>
  <c r="B32" i="19"/>
  <c r="B47" i="19" s="1"/>
  <c r="B62" i="19" s="1"/>
  <c r="B77" i="19" s="1"/>
  <c r="B31" i="19"/>
  <c r="B46" i="19" s="1"/>
  <c r="B61" i="19" s="1"/>
  <c r="B76" i="19" s="1"/>
  <c r="B30" i="19"/>
  <c r="B45" i="19" s="1"/>
  <c r="B60" i="19" s="1"/>
  <c r="B75" i="19" s="1"/>
  <c r="B29" i="19"/>
  <c r="B44" i="19" s="1"/>
  <c r="B59" i="19" s="1"/>
  <c r="B74" i="19" s="1"/>
  <c r="B28" i="19"/>
  <c r="B43" i="19" s="1"/>
  <c r="B58" i="19" s="1"/>
  <c r="B73" i="19" s="1"/>
  <c r="B27" i="19"/>
  <c r="B42" i="19" s="1"/>
  <c r="B57" i="19" s="1"/>
  <c r="B72" i="19" s="1"/>
  <c r="B26" i="19"/>
  <c r="B41" i="19" s="1"/>
  <c r="B56" i="19" s="1"/>
  <c r="B71" i="19" s="1"/>
  <c r="B25" i="19"/>
  <c r="B40" i="19" s="1"/>
  <c r="B55" i="19" s="1"/>
  <c r="B70" i="19" s="1"/>
  <c r="B24" i="19"/>
  <c r="B39" i="19" s="1"/>
  <c r="B54" i="19" s="1"/>
  <c r="B69" i="19" s="1"/>
  <c r="E7" i="19"/>
  <c r="F7" i="19" s="1"/>
  <c r="G7" i="19" s="1"/>
  <c r="H7" i="19" s="1"/>
  <c r="I7" i="19" s="1"/>
  <c r="J7" i="19" s="1"/>
  <c r="K7" i="19" s="1"/>
  <c r="L7" i="19" s="1"/>
  <c r="M7" i="19" s="1"/>
  <c r="F19" i="20" l="1"/>
  <c r="G19" i="20" s="1"/>
  <c r="L19" i="20"/>
  <c r="M19" i="20" s="1"/>
  <c r="I19" i="20"/>
  <c r="H10" i="20"/>
  <c r="I10" i="20" s="1"/>
  <c r="O81" i="20"/>
  <c r="O88" i="20"/>
  <c r="J10" i="20"/>
  <c r="K10" i="20" l="1"/>
  <c r="F10" i="20"/>
  <c r="G10" i="20" s="1"/>
  <c r="D30" i="23" l="1"/>
  <c r="P29" i="23"/>
  <c r="F10" i="33"/>
  <c r="D10" i="33" s="1"/>
  <c r="G10" i="33" l="1"/>
  <c r="F32" i="33"/>
  <c r="G32" i="33" s="1"/>
  <c r="E10" i="33"/>
  <c r="D32" i="33"/>
  <c r="E32" i="33" s="1"/>
</calcChain>
</file>

<file path=xl/comments1.xml><?xml version="1.0" encoding="utf-8"?>
<comments xmlns="http://schemas.openxmlformats.org/spreadsheetml/2006/main">
  <authors>
    <author>mtadgell</author>
  </authors>
  <commentList>
    <comment ref="J3" authorId="0" shapeId="0">
      <text>
        <r>
          <rPr>
            <b/>
            <sz val="9"/>
            <color indexed="81"/>
            <rFont val="Tahoma"/>
            <family val="2"/>
          </rPr>
          <t>mtadgell:</t>
        </r>
        <r>
          <rPr>
            <sz val="9"/>
            <color indexed="81"/>
            <rFont val="Tahoma"/>
            <family val="2"/>
          </rPr>
          <t xml:space="preserve">
Note this is different to rate of 3.5% assumed in model provided to KPMG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</rPr>
          <t>mtadgell:
Note this is different to rate of 2.2% assumed in model provided to KPMG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mtadgell:</t>
        </r>
        <r>
          <rPr>
            <sz val="9"/>
            <color indexed="81"/>
            <rFont val="Tahoma"/>
            <family val="2"/>
          </rPr>
          <t xml:space="preserve">
Note this is different to rate of 2.6% assumed in model provided to KPMG</t>
        </r>
      </text>
    </comment>
  </commentList>
</comments>
</file>

<file path=xl/comments2.xml><?xml version="1.0" encoding="utf-8"?>
<comments xmlns="http://schemas.openxmlformats.org/spreadsheetml/2006/main">
  <authors>
    <author>mtadgell</author>
    <author>Schille, Andrew</author>
    <author>jbond1</author>
  </authors>
  <commentList>
    <comment ref="J3" authorId="0" shapeId="0">
      <text>
        <r>
          <rPr>
            <b/>
            <sz val="9"/>
            <color indexed="81"/>
            <rFont val="Tahoma"/>
            <family val="2"/>
          </rPr>
          <t>mtadgell:</t>
        </r>
        <r>
          <rPr>
            <sz val="9"/>
            <color indexed="81"/>
            <rFont val="Tahoma"/>
            <family val="2"/>
          </rPr>
          <t xml:space="preserve">
Note this is different to rate of 3.5% assumed in model provided to KPMG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</rPr>
          <t>mtadgell:
Note this is different to rate of 2.2% assumed in model provided to KPMG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mtadgell:</t>
        </r>
        <r>
          <rPr>
            <sz val="9"/>
            <color indexed="81"/>
            <rFont val="Tahoma"/>
            <family val="2"/>
          </rPr>
          <t xml:space="preserve">
Note this is different to rate of 2.6% assumed in model provided to KPMG</t>
        </r>
      </text>
    </comment>
    <comment ref="K7" authorId="1" shapeId="0">
      <text>
        <r>
          <rPr>
            <b/>
            <sz val="9"/>
            <color indexed="81"/>
            <rFont val="Tahoma"/>
            <family val="2"/>
          </rPr>
          <t>Schille, Andrew:</t>
        </r>
        <r>
          <rPr>
            <sz val="9"/>
            <color indexed="81"/>
            <rFont val="Tahoma"/>
            <family val="2"/>
          </rPr>
          <t xml:space="preserve">
changed to equal the actual reg accounts for UE only</t>
        </r>
      </text>
    </comment>
    <comment ref="L7" authorId="2" shapeId="0">
      <text>
        <r>
          <rPr>
            <b/>
            <sz val="9"/>
            <color indexed="81"/>
            <rFont val="Tahoma"/>
            <family val="2"/>
          </rPr>
          <t>jbond1:</t>
        </r>
        <r>
          <rPr>
            <sz val="9"/>
            <color indexed="81"/>
            <rFont val="Tahoma"/>
            <family val="2"/>
          </rPr>
          <t xml:space="preserve">
Real $2013 converted to Nominal</t>
        </r>
      </text>
    </comment>
    <comment ref="M7" authorId="2" shapeId="0">
      <text>
        <r>
          <rPr>
            <b/>
            <sz val="9"/>
            <color indexed="81"/>
            <rFont val="Tahoma"/>
            <family val="2"/>
          </rPr>
          <t>jbond1:</t>
        </r>
        <r>
          <rPr>
            <sz val="9"/>
            <color indexed="81"/>
            <rFont val="Tahoma"/>
            <family val="2"/>
          </rPr>
          <t xml:space="preserve">
Real $2013 converted to Nominal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Schille, Andrew:</t>
        </r>
        <r>
          <rPr>
            <sz val="9"/>
            <color indexed="81"/>
            <rFont val="Tahoma"/>
            <family val="2"/>
          </rPr>
          <t xml:space="preserve">
AER disallowed $10.7m</t>
        </r>
      </text>
    </comment>
    <comment ref="K49" authorId="1" shapeId="0">
      <text>
        <r>
          <rPr>
            <b/>
            <sz val="9"/>
            <color indexed="81"/>
            <rFont val="Tahoma"/>
            <family val="2"/>
          </rPr>
          <t>Schille, Andrew:</t>
        </r>
        <r>
          <rPr>
            <sz val="9"/>
            <color indexed="81"/>
            <rFont val="Tahoma"/>
            <family val="2"/>
          </rPr>
          <t xml:space="preserve">
AER disallowed $22.7m</t>
        </r>
      </text>
    </comment>
    <comment ref="K61" authorId="1" shapeId="0">
      <text>
        <r>
          <rPr>
            <b/>
            <sz val="9"/>
            <color indexed="81"/>
            <rFont val="Tahoma"/>
            <family val="2"/>
          </rPr>
          <t>Schille, Andrew:</t>
        </r>
        <r>
          <rPr>
            <sz val="9"/>
            <color indexed="81"/>
            <rFont val="Tahoma"/>
            <family val="2"/>
          </rPr>
          <t xml:space="preserve">
AER disallowed $4.7m</t>
        </r>
      </text>
    </comment>
  </commentList>
</comments>
</file>

<file path=xl/comments3.xml><?xml version="1.0" encoding="utf-8"?>
<comments xmlns="http://schemas.openxmlformats.org/spreadsheetml/2006/main">
  <authors>
    <author>mtadgell</author>
  </authors>
  <commentList>
    <comment ref="J3" authorId="0" shapeId="0">
      <text>
        <r>
          <rPr>
            <b/>
            <sz val="9"/>
            <color indexed="81"/>
            <rFont val="Tahoma"/>
            <family val="2"/>
          </rPr>
          <t>mtadgell:</t>
        </r>
        <r>
          <rPr>
            <sz val="9"/>
            <color indexed="81"/>
            <rFont val="Tahoma"/>
            <family val="2"/>
          </rPr>
          <t xml:space="preserve">
Note this is different to rate of 3.5% assumed in model provided to KPMG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</rPr>
          <t>mtadgell:
Note this is different to rate of 2.2% assumed in model provided to KPMG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mtadgell:</t>
        </r>
        <r>
          <rPr>
            <sz val="9"/>
            <color indexed="81"/>
            <rFont val="Tahoma"/>
            <family val="2"/>
          </rPr>
          <t xml:space="preserve">
Note this is different to rate of 2.6% assumed in model provided to KPMG</t>
        </r>
      </text>
    </comment>
  </commentList>
</comments>
</file>

<file path=xl/comments4.xml><?xml version="1.0" encoding="utf-8"?>
<comments xmlns="http://schemas.openxmlformats.org/spreadsheetml/2006/main">
  <authors>
    <author>mtadgell</author>
    <author>jbond1</author>
  </authors>
  <commentList>
    <comment ref="J3" authorId="0" shapeId="0">
      <text>
        <r>
          <rPr>
            <b/>
            <sz val="9"/>
            <color indexed="81"/>
            <rFont val="Tahoma"/>
            <family val="2"/>
          </rPr>
          <t>mtadgell:</t>
        </r>
        <r>
          <rPr>
            <sz val="9"/>
            <color indexed="81"/>
            <rFont val="Tahoma"/>
            <family val="2"/>
          </rPr>
          <t xml:space="preserve">
Note this is different to rate of 3.5% assumed in model provided to KPMG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</rPr>
          <t>mtadgell:
Note this is different to rate of 2.2% assumed in model provided to KPMG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mtadgell:</t>
        </r>
        <r>
          <rPr>
            <sz val="9"/>
            <color indexed="81"/>
            <rFont val="Tahoma"/>
            <family val="2"/>
          </rPr>
          <t xml:space="preserve">
Note this is different to rate of 2.6% assumed in model provided to KPMG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</rPr>
          <t>jbond1:</t>
        </r>
        <r>
          <rPr>
            <sz val="9"/>
            <color indexed="81"/>
            <rFont val="Tahoma"/>
            <family val="2"/>
          </rPr>
          <t xml:space="preserve">
Actual - from template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</rPr>
          <t>jbond1:</t>
        </r>
        <r>
          <rPr>
            <sz val="9"/>
            <color indexed="81"/>
            <rFont val="Tahoma"/>
            <family val="2"/>
          </rPr>
          <t xml:space="preserve">
Actual - from template</t>
        </r>
      </text>
    </comment>
    <comment ref="F18" authorId="1" shapeId="0">
      <text>
        <r>
          <rPr>
            <b/>
            <sz val="9"/>
            <color indexed="81"/>
            <rFont val="Tahoma"/>
            <family val="2"/>
          </rPr>
          <t>jbond1:</t>
        </r>
        <r>
          <rPr>
            <sz val="9"/>
            <color indexed="81"/>
            <rFont val="Tahoma"/>
            <family val="2"/>
          </rPr>
          <t xml:space="preserve">
Actual - from template</t>
        </r>
      </text>
    </comment>
  </commentList>
</comments>
</file>

<file path=xl/comments5.xml><?xml version="1.0" encoding="utf-8"?>
<comments xmlns="http://schemas.openxmlformats.org/spreadsheetml/2006/main">
  <authors>
    <author>mtadgell</author>
    <author>jbond1</author>
  </authors>
  <commentList>
    <comment ref="J3" authorId="0" shapeId="0">
      <text>
        <r>
          <rPr>
            <b/>
            <sz val="9"/>
            <color indexed="81"/>
            <rFont val="Tahoma"/>
            <family val="2"/>
          </rPr>
          <t>mtadgell:</t>
        </r>
        <r>
          <rPr>
            <sz val="9"/>
            <color indexed="81"/>
            <rFont val="Tahoma"/>
            <family val="2"/>
          </rPr>
          <t xml:space="preserve">
Note this is different to rate of 3.5% assumed in model provided to KPMG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</rPr>
          <t>mtadgell:
Note this is different to rate of 2.2% assumed in model provided to KPMG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mtadgell:</t>
        </r>
        <r>
          <rPr>
            <sz val="9"/>
            <color indexed="81"/>
            <rFont val="Tahoma"/>
            <family val="2"/>
          </rPr>
          <t xml:space="preserve">
Note this is different to rate of 2.6% assumed in model provided to KPMG</t>
        </r>
      </text>
    </comment>
    <comment ref="L7" authorId="1" shapeId="0">
      <text>
        <r>
          <rPr>
            <b/>
            <sz val="9"/>
            <color indexed="81"/>
            <rFont val="Tahoma"/>
            <family val="2"/>
          </rPr>
          <t>jbond1:</t>
        </r>
        <r>
          <rPr>
            <sz val="9"/>
            <color indexed="81"/>
            <rFont val="Tahoma"/>
            <family val="2"/>
          </rPr>
          <t xml:space="preserve">
Real $2013 converted to Nominal</t>
        </r>
      </text>
    </comment>
    <comment ref="M7" authorId="1" shapeId="0">
      <text>
        <r>
          <rPr>
            <b/>
            <sz val="9"/>
            <color indexed="81"/>
            <rFont val="Tahoma"/>
            <family val="2"/>
          </rPr>
          <t>jbond1:</t>
        </r>
        <r>
          <rPr>
            <sz val="9"/>
            <color indexed="81"/>
            <rFont val="Tahoma"/>
            <family val="2"/>
          </rPr>
          <t xml:space="preserve">
Real $2013 converted to Nominal</t>
        </r>
      </text>
    </comment>
  </commentList>
</comments>
</file>

<file path=xl/comments6.xml><?xml version="1.0" encoding="utf-8"?>
<comments xmlns="http://schemas.openxmlformats.org/spreadsheetml/2006/main">
  <authors>
    <author>mtadgell</author>
  </authors>
  <commentList>
    <comment ref="J3" authorId="0" shapeId="0">
      <text>
        <r>
          <rPr>
            <b/>
            <sz val="9"/>
            <color indexed="81"/>
            <rFont val="Tahoma"/>
            <family val="2"/>
          </rPr>
          <t>mtadgell:</t>
        </r>
        <r>
          <rPr>
            <sz val="9"/>
            <color indexed="81"/>
            <rFont val="Tahoma"/>
            <family val="2"/>
          </rPr>
          <t xml:space="preserve">
Note this is different to rate of 3.5% assumed in model provided to KPMG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</rPr>
          <t>mtadgell:
Note this is different to rate of 2.2% assumed in model provided to KPMG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mtadgell:</t>
        </r>
        <r>
          <rPr>
            <sz val="9"/>
            <color indexed="81"/>
            <rFont val="Tahoma"/>
            <family val="2"/>
          </rPr>
          <t xml:space="preserve">
Note this is different to rate of 2.6% assumed in model provided to KPMG</t>
        </r>
      </text>
    </comment>
  </commentList>
</comments>
</file>

<file path=xl/sharedStrings.xml><?xml version="1.0" encoding="utf-8"?>
<sst xmlns="http://schemas.openxmlformats.org/spreadsheetml/2006/main" count="664" uniqueCount="134">
  <si>
    <t>Accumulation Meters</t>
  </si>
  <si>
    <t>Manually read interval meters</t>
  </si>
  <si>
    <t>Remotely read interval meters &amp; transformers</t>
  </si>
  <si>
    <t>IT</t>
  </si>
  <si>
    <t>Communications</t>
  </si>
  <si>
    <t>Other</t>
  </si>
  <si>
    <t>Total</t>
  </si>
  <si>
    <t>Nominal $</t>
  </si>
  <si>
    <t>United Energy</t>
  </si>
  <si>
    <t>Powercor</t>
  </si>
  <si>
    <t>SP Ausnet</t>
  </si>
  <si>
    <t>Citipower</t>
  </si>
  <si>
    <t>Jemena</t>
  </si>
  <si>
    <t>Capex</t>
  </si>
  <si>
    <t>Opex</t>
  </si>
  <si>
    <t>Forecast total number of meters</t>
  </si>
  <si>
    <t>Customers (meter provision charge)</t>
  </si>
  <si>
    <t>n.a.</t>
  </si>
  <si>
    <t xml:space="preserve">AMI Capex and Opex Benchmarking </t>
  </si>
  <si>
    <t>$2008 to Nominal</t>
  </si>
  <si>
    <t xml:space="preserve">United Energy </t>
  </si>
  <si>
    <t>DNSP</t>
  </si>
  <si>
    <t>Actual and Forecast 2006-15 ($m)</t>
  </si>
  <si>
    <t>Per meter ($)</t>
  </si>
  <si>
    <t>Total Capex</t>
  </si>
  <si>
    <t>Total Opex</t>
  </si>
  <si>
    <t>Table 1 - Total Expenditure, Total Capex and Total Opex (Nominal)</t>
  </si>
  <si>
    <t>Table 2 - Meter Purchase and Installation Capital Costs (Nominal)</t>
  </si>
  <si>
    <t xml:space="preserve">Total Expenditure (i.e. Capex + Opex) </t>
  </si>
  <si>
    <t>RRIM Capex Purchase and Installation</t>
  </si>
  <si>
    <t>Total Capex Purchase and Installation - Accumulation Meters + MRIM &amp; RRIM</t>
  </si>
  <si>
    <t>Note - All Data Sourced from DNSPs' August 2013 AMI Charges Applications to AER.  Inflation rates used are also as presented in these Applications.</t>
  </si>
  <si>
    <r>
      <t xml:space="preserve">RRIM Capex Purchase - Indicative Only </t>
    </r>
    <r>
      <rPr>
        <sz val="9.35"/>
        <color theme="1"/>
        <rFont val="Calibri"/>
        <family val="2"/>
      </rPr>
      <t>(based on assumed average meter purchase cost of $163)</t>
    </r>
  </si>
  <si>
    <r>
      <t xml:space="preserve">RRIM Capex Installation - Indicative Only </t>
    </r>
    <r>
      <rPr>
        <sz val="9.35"/>
        <color theme="1"/>
        <rFont val="Calibri"/>
        <family val="2"/>
      </rPr>
      <t>(based on assumed average meter purchase cost of $163)</t>
    </r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</si>
  <si>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</si>
  <si>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</si>
  <si>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</si>
  <si>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</si>
  <si>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</si>
  <si>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</si>
  <si>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</si>
  <si>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</si>
  <si>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Funding:  - Equity raising</t>
  </si>
  <si>
    <t xml:space="preserve">                 - Interest and exchange rate hedging costs</t>
  </si>
  <si>
    <t>OPERATING &amp; MAINTENANCE EXPENDITURE (Pre Start Date)</t>
  </si>
  <si>
    <t>Maintenance costs</t>
  </si>
  <si>
    <t>Standard metering (accumulation meters and interval meters)</t>
  </si>
  <si>
    <t>Metering data services (IT related)</t>
  </si>
  <si>
    <t>Operating costs</t>
  </si>
  <si>
    <t>Metering data services</t>
  </si>
  <si>
    <t>Customer services (meter replacements)</t>
  </si>
  <si>
    <t>Indirect Overheads</t>
  </si>
  <si>
    <t>TOTAL O&amp;M Expenditure</t>
  </si>
  <si>
    <t>O &amp; M EXPENDITURE</t>
  </si>
  <si>
    <t>Total Pre State Date O&amp;M</t>
  </si>
  <si>
    <t>Meter type</t>
  </si>
  <si>
    <t>Single phase</t>
  </si>
  <si>
    <t>Three phase direct connected meter</t>
  </si>
  <si>
    <t>Three phase CT connected meter</t>
  </si>
  <si>
    <t xml:space="preserve">Single phase single element </t>
  </si>
  <si>
    <t xml:space="preserve">Single phase two element </t>
  </si>
  <si>
    <t xml:space="preserve">Multiphase </t>
  </si>
  <si>
    <t>Multiphase with contactor</t>
  </si>
  <si>
    <t xml:space="preserve">Multiphase CT </t>
  </si>
  <si>
    <t>Single phase single element meter</t>
  </si>
  <si>
    <t>Single phase single element meter with contactor</t>
  </si>
  <si>
    <t>Single phase two element meter with contactor</t>
  </si>
  <si>
    <t>Three phase direct connected meter with contactor</t>
  </si>
  <si>
    <t>Three phase Current transformer connected meter</t>
  </si>
  <si>
    <t>FORECAST</t>
  </si>
  <si>
    <t>FROM IMRO DECISION 2006-10</t>
  </si>
  <si>
    <t>ACTUAL</t>
  </si>
  <si>
    <t>Number of customers with meters</t>
  </si>
  <si>
    <t xml:space="preserve">Total Expenditure, Capex and Opex </t>
  </si>
  <si>
    <t>Customers with meters (average)</t>
  </si>
  <si>
    <t xml:space="preserve">Actual and Forecast 2006-08 </t>
  </si>
  <si>
    <t>Actual and Forecast 2006-08</t>
  </si>
  <si>
    <t>3.2012-2015</t>
  </si>
  <si>
    <t>EXPENDITURE BENCHMARKING - TOTAL, CAPEX AND OPEX</t>
  </si>
  <si>
    <t>Actual and Forecast 2012-15</t>
  </si>
  <si>
    <t>METER PURCHASE AND INSTALLATION CAPITAL COSTS</t>
  </si>
  <si>
    <t>4. 2006-2015</t>
  </si>
  <si>
    <t>Actual and Forecast 2006-15</t>
  </si>
  <si>
    <t>Meter purchase cost</t>
  </si>
  <si>
    <t>CHECK</t>
  </si>
  <si>
    <t>Actual and Forecast 2006-09</t>
  </si>
  <si>
    <t>Capex categories</t>
  </si>
  <si>
    <t>TARIFF REVENUE ($ NOMINAL)</t>
  </si>
  <si>
    <t>ACTUAL ($ NOMINAL)</t>
  </si>
  <si>
    <t>Actual tariffs ($ NOMINAL), Forecast quantities</t>
  </si>
  <si>
    <t>Forecast tariffs ($ NOMINAL), Forecast quantities</t>
  </si>
  <si>
    <t>N/A</t>
  </si>
  <si>
    <t>RELATIONSHIP BETWEEN REGULATED SERVICES CHARGES AND RECOVERY OF NPV OF COSTS (2006-2015)</t>
  </si>
  <si>
    <t>$2013 to Nominal</t>
  </si>
  <si>
    <t>Total Expenditure</t>
  </si>
  <si>
    <t>Inflation</t>
  </si>
  <si>
    <t>Vanilla' after tax WACC (real)</t>
  </si>
  <si>
    <t>Vanilla' after tax WACC (nominal)</t>
  </si>
  <si>
    <t>Vanilla after tax WACC (real) - 2006-08</t>
  </si>
  <si>
    <t>Vanilla after tax WACC (real) - 2009-13</t>
  </si>
  <si>
    <t>Vanilla after tax WACC (real) - 2013-15</t>
  </si>
  <si>
    <t>Discount factor</t>
  </si>
  <si>
    <t>NPV (Expenditure)</t>
  </si>
  <si>
    <t>Sum (NPV)</t>
  </si>
  <si>
    <t>Total Revenue</t>
  </si>
  <si>
    <t>NPV (Revenue)</t>
  </si>
  <si>
    <t>Difference</t>
  </si>
  <si>
    <t>Cost</t>
  </si>
  <si>
    <t>UNITED ENERGY</t>
  </si>
  <si>
    <t>Average</t>
  </si>
  <si>
    <t>POWERCOR</t>
  </si>
  <si>
    <t>CITIPOWER</t>
  </si>
  <si>
    <t>SP AUSNET</t>
  </si>
  <si>
    <t>JEMENA</t>
  </si>
  <si>
    <t>See 'Meter Costs' spreadsheet</t>
  </si>
  <si>
    <t>1. 2006-2011</t>
  </si>
  <si>
    <t>2.2012-2015</t>
  </si>
  <si>
    <t>3. 2006-2015</t>
  </si>
  <si>
    <t>TOTAL CAPITAL EXPENDITURE</t>
  </si>
  <si>
    <t>Total non-meter CAPEX</t>
  </si>
  <si>
    <t xml:space="preserve">Actual and Forecast 2006-11 </t>
  </si>
  <si>
    <t>Actual and Forecast 2006-11</t>
  </si>
  <si>
    <t xml:space="preserve">RRIM Average Meter Cost - Indicative Only </t>
  </si>
  <si>
    <t xml:space="preserve">RRIM Capex Installation - Indicative Only </t>
  </si>
  <si>
    <t>TOTAL OPERATING EXPENDITURE</t>
  </si>
  <si>
    <t>NPV (Expenditure) - Cumulative</t>
  </si>
  <si>
    <t>NPV (Revenue) - Cumulative</t>
  </si>
  <si>
    <t>Per Meter</t>
  </si>
  <si>
    <t>Business</t>
  </si>
  <si>
    <t>Metering</t>
  </si>
  <si>
    <t>Comms</t>
  </si>
  <si>
    <t>Capex cost per customer 2006 to 2015</t>
  </si>
  <si>
    <t>Actual and Forecast 2009-15</t>
  </si>
  <si>
    <t>4. 2009-2015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</si>
</sst>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_);_(* \(#,##0.0000\);_(* &quot;-&quot;??_);_(@_)"/>
    <numFmt numFmtId="168" formatCode="0.00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.35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color indexed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bgColor theme="0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44" fontId="4" fillId="0" borderId="0" applyFont="0" applyFill="0" applyBorder="0" applyAlignment="0" applyProtection="0"/>
  </cellStyleXfs>
  <cellXfs count="205">
    <xf numFmtId="0" fontId="0" fillId="0" borderId="0" xfId="0"/>
    <xf numFmtId="165" fontId="0" fillId="0" borderId="0" xfId="2" applyNumberFormat="1" applyFont="1" applyFill="1"/>
    <xf numFmtId="0" fontId="0" fillId="0" borderId="0" xfId="0" applyFill="1"/>
    <xf numFmtId="165" fontId="0" fillId="0" borderId="0" xfId="2" applyNumberFormat="1" applyFont="1" applyFill="1" applyBorder="1"/>
    <xf numFmtId="0" fontId="1" fillId="0" borderId="0" xfId="0" applyFont="1" applyFill="1" applyBorder="1"/>
    <xf numFmtId="0" fontId="1" fillId="0" borderId="0" xfId="0" applyFont="1" applyFill="1"/>
    <xf numFmtId="10" fontId="0" fillId="0" borderId="0" xfId="0" applyNumberFormat="1" applyFill="1"/>
    <xf numFmtId="0" fontId="1" fillId="0" borderId="7" xfId="0" applyFont="1" applyFill="1" applyBorder="1"/>
    <xf numFmtId="0" fontId="1" fillId="0" borderId="7" xfId="0" applyFont="1" applyFill="1" applyBorder="1" applyAlignment="1">
      <alignment horizontal="center"/>
    </xf>
    <xf numFmtId="165" fontId="1" fillId="0" borderId="7" xfId="2" applyNumberFormat="1" applyFont="1" applyFill="1" applyBorder="1" applyAlignment="1">
      <alignment horizontal="center"/>
    </xf>
    <xf numFmtId="165" fontId="1" fillId="0" borderId="0" xfId="2" applyNumberFormat="1" applyFont="1" applyFill="1"/>
    <xf numFmtId="165" fontId="0" fillId="0" borderId="0" xfId="2" applyNumberFormat="1" applyFont="1" applyFill="1" applyAlignment="1">
      <alignment horizontal="left" indent="3"/>
    </xf>
    <xf numFmtId="164" fontId="0" fillId="0" borderId="0" xfId="2" applyFont="1" applyFill="1"/>
    <xf numFmtId="164" fontId="0" fillId="0" borderId="7" xfId="2" applyFont="1" applyFill="1" applyBorder="1"/>
    <xf numFmtId="165" fontId="0" fillId="0" borderId="7" xfId="2" applyNumberFormat="1" applyFont="1" applyFill="1" applyBorder="1"/>
    <xf numFmtId="0" fontId="0" fillId="0" borderId="7" xfId="0" applyFill="1" applyBorder="1"/>
    <xf numFmtId="164" fontId="0" fillId="0" borderId="0" xfId="2" applyFont="1" applyFill="1" applyBorder="1"/>
    <xf numFmtId="0" fontId="0" fillId="0" borderId="0" xfId="0" applyFill="1" applyBorder="1"/>
    <xf numFmtId="165" fontId="1" fillId="0" borderId="0" xfId="2" applyNumberFormat="1" applyFont="1" applyFill="1" applyBorder="1"/>
    <xf numFmtId="164" fontId="1" fillId="0" borderId="0" xfId="2" applyFont="1" applyFill="1" applyBorder="1"/>
    <xf numFmtId="164" fontId="0" fillId="0" borderId="0" xfId="2" applyFont="1" applyFill="1" applyBorder="1" applyAlignment="1">
      <alignment horizontal="left" indent="3"/>
    </xf>
    <xf numFmtId="164" fontId="1" fillId="0" borderId="7" xfId="2" applyFont="1" applyFill="1" applyBorder="1"/>
    <xf numFmtId="164" fontId="4" fillId="0" borderId="0" xfId="2" applyFont="1" applyFill="1" applyBorder="1" applyAlignment="1">
      <alignment horizontal="left" indent="3"/>
    </xf>
    <xf numFmtId="164" fontId="0" fillId="0" borderId="0" xfId="0" applyNumberFormat="1" applyFill="1" applyBorder="1" applyAlignment="1">
      <alignment horizontal="left" indent="3"/>
    </xf>
    <xf numFmtId="164" fontId="1" fillId="0" borderId="0" xfId="0" applyNumberFormat="1" applyFont="1" applyFill="1" applyBorder="1"/>
    <xf numFmtId="165" fontId="0" fillId="0" borderId="0" xfId="0" applyNumberFormat="1" applyFill="1"/>
    <xf numFmtId="164" fontId="1" fillId="0" borderId="7" xfId="0" applyNumberFormat="1" applyFont="1" applyFill="1" applyBorder="1" applyAlignment="1">
      <alignment horizontal="center"/>
    </xf>
    <xf numFmtId="165" fontId="4" fillId="0" borderId="0" xfId="2" applyNumberFormat="1" applyFont="1" applyFill="1" applyBorder="1"/>
    <xf numFmtId="0" fontId="0" fillId="0" borderId="0" xfId="0" applyFont="1" applyFill="1" applyBorder="1"/>
    <xf numFmtId="167" fontId="0" fillId="0" borderId="0" xfId="2" applyNumberFormat="1" applyFont="1" applyFill="1"/>
    <xf numFmtId="0" fontId="1" fillId="0" borderId="0" xfId="0" applyFont="1" applyFill="1" applyAlignment="1">
      <alignment horizontal="center"/>
    </xf>
    <xf numFmtId="168" fontId="0" fillId="0" borderId="0" xfId="3" applyNumberFormat="1" applyFont="1" applyFill="1"/>
    <xf numFmtId="168" fontId="0" fillId="0" borderId="0" xfId="0" applyNumberFormat="1" applyFill="1"/>
    <xf numFmtId="3" fontId="0" fillId="0" borderId="0" xfId="0" applyNumberFormat="1" applyFill="1"/>
    <xf numFmtId="3" fontId="0" fillId="0" borderId="0" xfId="0" applyNumberFormat="1" applyFill="1" applyBorder="1"/>
    <xf numFmtId="3" fontId="1" fillId="0" borderId="0" xfId="0" applyNumberFormat="1" applyFont="1" applyFill="1"/>
    <xf numFmtId="164" fontId="0" fillId="0" borderId="0" xfId="0" applyNumberFormat="1" applyFill="1"/>
    <xf numFmtId="166" fontId="0" fillId="0" borderId="0" xfId="2" applyNumberFormat="1" applyFont="1" applyFill="1"/>
    <xf numFmtId="164" fontId="0" fillId="0" borderId="0" xfId="2" applyFont="1" applyFill="1" applyAlignment="1">
      <alignment vertical="top" wrapText="1"/>
    </xf>
    <xf numFmtId="165" fontId="0" fillId="0" borderId="0" xfId="0" applyNumberFormat="1" applyFill="1" applyBorder="1"/>
    <xf numFmtId="165" fontId="0" fillId="0" borderId="0" xfId="0" applyNumberFormat="1" applyFont="1" applyFill="1" applyBorder="1"/>
    <xf numFmtId="165" fontId="0" fillId="0" borderId="0" xfId="0" applyNumberFormat="1" applyFont="1" applyFill="1"/>
    <xf numFmtId="0" fontId="0" fillId="2" borderId="0" xfId="0" applyFill="1"/>
    <xf numFmtId="0" fontId="3" fillId="2" borderId="0" xfId="0" applyFont="1" applyFill="1"/>
    <xf numFmtId="0" fontId="1" fillId="2" borderId="0" xfId="0" applyFont="1" applyFill="1"/>
    <xf numFmtId="164" fontId="0" fillId="2" borderId="0" xfId="2" applyFont="1" applyFill="1"/>
    <xf numFmtId="0" fontId="1" fillId="2" borderId="0" xfId="0" applyFont="1" applyFill="1" applyBorder="1"/>
    <xf numFmtId="165" fontId="0" fillId="2" borderId="0" xfId="0" applyNumberFormat="1" applyFill="1"/>
    <xf numFmtId="10" fontId="0" fillId="2" borderId="0" xfId="3" applyNumberFormat="1" applyFont="1" applyFill="1"/>
    <xf numFmtId="165" fontId="0" fillId="2" borderId="0" xfId="3" applyNumberFormat="1" applyFont="1" applyFill="1"/>
    <xf numFmtId="165" fontId="0" fillId="2" borderId="0" xfId="0" applyNumberFormat="1" applyFont="1" applyFill="1"/>
    <xf numFmtId="165" fontId="1" fillId="2" borderId="0" xfId="0" applyNumberFormat="1" applyFont="1" applyFill="1"/>
    <xf numFmtId="0" fontId="0" fillId="2" borderId="7" xfId="0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165" fontId="1" fillId="2" borderId="7" xfId="2" applyNumberFormat="1" applyFont="1" applyFill="1" applyBorder="1" applyAlignment="1">
      <alignment horizontal="center"/>
    </xf>
    <xf numFmtId="165" fontId="0" fillId="2" borderId="0" xfId="2" applyNumberFormat="1" applyFont="1" applyFill="1"/>
    <xf numFmtId="165" fontId="0" fillId="2" borderId="0" xfId="2" applyNumberFormat="1" applyFont="1" applyFill="1" applyAlignment="1">
      <alignment horizontal="right"/>
    </xf>
    <xf numFmtId="165" fontId="0" fillId="2" borderId="14" xfId="0" applyNumberFormat="1" applyFill="1" applyBorder="1"/>
    <xf numFmtId="0" fontId="0" fillId="2" borderId="0" xfId="0" applyFill="1" applyBorder="1"/>
    <xf numFmtId="165" fontId="0" fillId="2" borderId="4" xfId="0" applyNumberFormat="1" applyFill="1" applyBorder="1"/>
    <xf numFmtId="165" fontId="0" fillId="2" borderId="0" xfId="0" applyNumberFormat="1" applyFill="1" applyBorder="1"/>
    <xf numFmtId="165" fontId="0" fillId="2" borderId="5" xfId="0" applyNumberFormat="1" applyFill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165" fontId="0" fillId="2" borderId="6" xfId="0" applyNumberFormat="1" applyFill="1" applyBorder="1"/>
    <xf numFmtId="165" fontId="0" fillId="2" borderId="11" xfId="0" applyNumberFormat="1" applyFill="1" applyBorder="1"/>
    <xf numFmtId="165" fontId="0" fillId="2" borderId="12" xfId="0" applyNumberFormat="1" applyFill="1" applyBorder="1"/>
    <xf numFmtId="165" fontId="1" fillId="2" borderId="4" xfId="0" applyNumberFormat="1" applyFont="1" applyFill="1" applyBorder="1"/>
    <xf numFmtId="165" fontId="1" fillId="2" borderId="6" xfId="0" applyNumberFormat="1" applyFont="1" applyFill="1" applyBorder="1"/>
    <xf numFmtId="0" fontId="5" fillId="3" borderId="1" xfId="0" applyFont="1" applyFill="1" applyBorder="1"/>
    <xf numFmtId="165" fontId="0" fillId="3" borderId="2" xfId="0" applyNumberFormat="1" applyFill="1" applyBorder="1"/>
    <xf numFmtId="0" fontId="0" fillId="3" borderId="2" xfId="0" applyFill="1" applyBorder="1"/>
    <xf numFmtId="0" fontId="0" fillId="3" borderId="3" xfId="0" applyFill="1" applyBorder="1"/>
    <xf numFmtId="0" fontId="1" fillId="3" borderId="6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165" fontId="0" fillId="2" borderId="10" xfId="0" applyNumberFormat="1" applyFill="1" applyBorder="1"/>
    <xf numFmtId="165" fontId="0" fillId="2" borderId="4" xfId="0" applyNumberFormat="1" applyFill="1" applyBorder="1" applyAlignment="1">
      <alignment horizontal="right"/>
    </xf>
    <xf numFmtId="165" fontId="0" fillId="2" borderId="11" xfId="0" applyNumberFormat="1" applyFill="1" applyBorder="1" applyAlignment="1">
      <alignment horizontal="right"/>
    </xf>
    <xf numFmtId="165" fontId="0" fillId="2" borderId="9" xfId="0" applyNumberFormat="1" applyFill="1" applyBorder="1"/>
    <xf numFmtId="165" fontId="0" fillId="2" borderId="0" xfId="0" applyNumberFormat="1" applyFill="1" applyBorder="1" applyAlignment="1">
      <alignment horizontal="right"/>
    </xf>
    <xf numFmtId="0" fontId="1" fillId="3" borderId="6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165" fontId="0" fillId="3" borderId="3" xfId="3" applyNumberFormat="1" applyFont="1" applyFill="1" applyBorder="1"/>
    <xf numFmtId="0" fontId="10" fillId="0" borderId="0" xfId="1" applyFont="1" applyFill="1" applyBorder="1" applyProtection="1"/>
    <xf numFmtId="0" fontId="2" fillId="0" borderId="0" xfId="1" applyFont="1" applyBorder="1" applyProtection="1"/>
    <xf numFmtId="0" fontId="10" fillId="0" borderId="0" xfId="1" applyFont="1" applyFill="1" applyBorder="1" applyAlignment="1" applyProtection="1">
      <alignment wrapText="1"/>
    </xf>
    <xf numFmtId="164" fontId="1" fillId="0" borderId="0" xfId="2" applyFont="1" applyFill="1" applyBorder="1" applyAlignment="1">
      <alignment horizontal="left" indent="3"/>
    </xf>
    <xf numFmtId="0" fontId="9" fillId="0" borderId="0" xfId="1" applyFont="1" applyProtection="1"/>
    <xf numFmtId="0" fontId="2" fillId="0" borderId="0" xfId="1" applyFont="1" applyProtection="1"/>
    <xf numFmtId="0" fontId="10" fillId="0" borderId="0" xfId="1" applyFont="1" applyProtection="1"/>
    <xf numFmtId="164" fontId="4" fillId="0" borderId="7" xfId="2" applyFont="1" applyFill="1" applyBorder="1" applyAlignment="1">
      <alignment horizontal="left" indent="3"/>
    </xf>
    <xf numFmtId="164" fontId="1" fillId="0" borderId="0" xfId="0" applyNumberFormat="1" applyFont="1" applyFill="1" applyBorder="1" applyAlignment="1">
      <alignment horizontal="left" indent="3"/>
    </xf>
    <xf numFmtId="165" fontId="4" fillId="0" borderId="0" xfId="2" applyNumberFormat="1" applyFont="1" applyFill="1"/>
    <xf numFmtId="3" fontId="0" fillId="0" borderId="0" xfId="0" applyNumberFormat="1" applyFont="1" applyFill="1"/>
    <xf numFmtId="165" fontId="1" fillId="0" borderId="0" xfId="2" applyNumberFormat="1" applyFont="1" applyFill="1" applyAlignment="1">
      <alignment horizontal="left" indent="3"/>
    </xf>
    <xf numFmtId="0" fontId="2" fillId="0" borderId="0" xfId="1" applyFont="1"/>
    <xf numFmtId="0" fontId="12" fillId="0" borderId="0" xfId="0" applyFont="1"/>
    <xf numFmtId="168" fontId="1" fillId="0" borderId="0" xfId="0" applyNumberFormat="1" applyFont="1" applyFill="1" applyAlignment="1"/>
    <xf numFmtId="165" fontId="1" fillId="0" borderId="0" xfId="0" applyNumberFormat="1" applyFont="1" applyFill="1" applyBorder="1"/>
    <xf numFmtId="165" fontId="4" fillId="0" borderId="0" xfId="2" applyNumberFormat="1" applyFont="1" applyFill="1" applyBorder="1" applyAlignment="1">
      <alignment horizontal="left" indent="3"/>
    </xf>
    <xf numFmtId="0" fontId="11" fillId="0" borderId="0" xfId="1" applyFont="1" applyFill="1"/>
    <xf numFmtId="3" fontId="2" fillId="0" borderId="0" xfId="1" applyNumberFormat="1" applyFont="1" applyFill="1"/>
    <xf numFmtId="165" fontId="1" fillId="4" borderId="0" xfId="2" applyNumberFormat="1" applyFont="1" applyFill="1" applyBorder="1"/>
    <xf numFmtId="3" fontId="1" fillId="4" borderId="0" xfId="0" applyNumberFormat="1" applyFont="1" applyFill="1"/>
    <xf numFmtId="165" fontId="1" fillId="4" borderId="0" xfId="2" applyNumberFormat="1" applyFont="1" applyFill="1"/>
    <xf numFmtId="165" fontId="1" fillId="4" borderId="0" xfId="0" applyNumberFormat="1" applyFont="1" applyFill="1"/>
    <xf numFmtId="165" fontId="0" fillId="3" borderId="2" xfId="0" applyNumberFormat="1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0" borderId="0" xfId="0" applyFont="1"/>
    <xf numFmtId="165" fontId="0" fillId="2" borderId="11" xfId="0" applyNumberFormat="1" applyFont="1" applyFill="1" applyBorder="1"/>
    <xf numFmtId="165" fontId="0" fillId="2" borderId="4" xfId="0" applyNumberFormat="1" applyFont="1" applyFill="1" applyBorder="1"/>
    <xf numFmtId="165" fontId="0" fillId="2" borderId="5" xfId="0" applyNumberFormat="1" applyFont="1" applyFill="1" applyBorder="1"/>
    <xf numFmtId="165" fontId="0" fillId="2" borderId="12" xfId="0" applyNumberFormat="1" applyFont="1" applyFill="1" applyBorder="1"/>
    <xf numFmtId="165" fontId="0" fillId="2" borderId="6" xfId="0" applyNumberFormat="1" applyFont="1" applyFill="1" applyBorder="1"/>
    <xf numFmtId="165" fontId="0" fillId="2" borderId="8" xfId="0" applyNumberFormat="1" applyFont="1" applyFill="1" applyBorder="1"/>
    <xf numFmtId="0" fontId="1" fillId="0" borderId="0" xfId="0" applyFont="1"/>
    <xf numFmtId="165" fontId="1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Fill="1"/>
    <xf numFmtId="164" fontId="0" fillId="0" borderId="0" xfId="0" applyNumberFormat="1" applyFont="1"/>
    <xf numFmtId="0" fontId="0" fillId="0" borderId="0" xfId="0" applyFont="1" applyFill="1" applyBorder="1" applyAlignment="1">
      <alignment horizontal="center" wrapText="1"/>
    </xf>
    <xf numFmtId="0" fontId="0" fillId="3" borderId="13" xfId="0" applyFont="1" applyFill="1" applyBorder="1" applyAlignment="1">
      <alignment vertical="top"/>
    </xf>
    <xf numFmtId="165" fontId="0" fillId="2" borderId="10" xfId="0" applyNumberFormat="1" applyFont="1" applyFill="1" applyBorder="1"/>
    <xf numFmtId="0" fontId="1" fillId="3" borderId="13" xfId="0" applyFont="1" applyFill="1" applyBorder="1" applyAlignment="1">
      <alignment vertical="top" wrapText="1"/>
    </xf>
    <xf numFmtId="165" fontId="0" fillId="5" borderId="4" xfId="0" applyNumberFormat="1" applyFont="1" applyFill="1" applyBorder="1"/>
    <xf numFmtId="165" fontId="0" fillId="5" borderId="11" xfId="0" applyNumberFormat="1" applyFont="1" applyFill="1" applyBorder="1"/>
    <xf numFmtId="165" fontId="0" fillId="5" borderId="12" xfId="0" applyNumberFormat="1" applyFont="1" applyFill="1" applyBorder="1"/>
    <xf numFmtId="165" fontId="0" fillId="5" borderId="6" xfId="0" applyNumberFormat="1" applyFont="1" applyFill="1" applyBorder="1"/>
    <xf numFmtId="0" fontId="2" fillId="0" borderId="0" xfId="1" applyFont="1" applyFill="1"/>
    <xf numFmtId="0" fontId="2" fillId="0" borderId="0" xfId="4" applyFont="1" applyFill="1" applyBorder="1"/>
    <xf numFmtId="10" fontId="0" fillId="4" borderId="13" xfId="0" applyNumberFormat="1" applyFill="1" applyBorder="1"/>
    <xf numFmtId="1" fontId="10" fillId="2" borderId="10" xfId="0" applyNumberFormat="1" applyFont="1" applyFill="1" applyBorder="1" applyProtection="1"/>
    <xf numFmtId="10" fontId="0" fillId="2" borderId="10" xfId="0" applyNumberFormat="1" applyFill="1" applyBorder="1"/>
    <xf numFmtId="10" fontId="0" fillId="2" borderId="10" xfId="3" applyNumberFormat="1" applyFont="1" applyFill="1" applyBorder="1"/>
    <xf numFmtId="0" fontId="10" fillId="2" borderId="11" xfId="0" quotePrefix="1" applyFont="1" applyFill="1" applyBorder="1"/>
    <xf numFmtId="10" fontId="0" fillId="2" borderId="11" xfId="0" applyNumberFormat="1" applyFill="1" applyBorder="1"/>
    <xf numFmtId="1" fontId="10" fillId="2" borderId="12" xfId="0" quotePrefix="1" applyNumberFormat="1" applyFont="1" applyFill="1" applyBorder="1" applyProtection="1"/>
    <xf numFmtId="10" fontId="0" fillId="2" borderId="12" xfId="3" applyNumberFormat="1" applyFont="1" applyFill="1" applyBorder="1"/>
    <xf numFmtId="1" fontId="10" fillId="0" borderId="0" xfId="0" quotePrefix="1" applyNumberFormat="1" applyFont="1" applyFill="1" applyBorder="1" applyProtection="1"/>
    <xf numFmtId="10" fontId="0" fillId="0" borderId="0" xfId="3" applyNumberFormat="1" applyFont="1" applyFill="1" applyBorder="1"/>
    <xf numFmtId="1" fontId="10" fillId="0" borderId="13" xfId="0" applyNumberFormat="1" applyFont="1" applyFill="1" applyBorder="1" applyProtection="1"/>
    <xf numFmtId="2" fontId="0" fillId="0" borderId="13" xfId="3" applyNumberFormat="1" applyFont="1" applyFill="1" applyBorder="1"/>
    <xf numFmtId="165" fontId="0" fillId="2" borderId="9" xfId="0" applyNumberFormat="1" applyFont="1" applyFill="1" applyBorder="1"/>
    <xf numFmtId="0" fontId="0" fillId="4" borderId="13" xfId="0" applyFill="1" applyBorder="1" applyAlignment="1">
      <alignment wrapText="1"/>
    </xf>
    <xf numFmtId="164" fontId="13" fillId="0" borderId="0" xfId="2" applyFont="1" applyFill="1" applyBorder="1"/>
    <xf numFmtId="0" fontId="1" fillId="3" borderId="6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3" fontId="0" fillId="0" borderId="0" xfId="0" applyNumberFormat="1" applyFill="1"/>
    <xf numFmtId="43" fontId="0" fillId="0" borderId="0" xfId="0" applyNumberFormat="1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4" xfId="0" applyFill="1" applyBorder="1"/>
    <xf numFmtId="0" fontId="0" fillId="0" borderId="5" xfId="0" applyFill="1" applyBorder="1"/>
    <xf numFmtId="44" fontId="0" fillId="0" borderId="0" xfId="5" applyFont="1" applyFill="1" applyBorder="1"/>
    <xf numFmtId="44" fontId="0" fillId="0" borderId="5" xfId="5" applyFont="1" applyFill="1" applyBorder="1"/>
    <xf numFmtId="0" fontId="0" fillId="0" borderId="6" xfId="0" applyFill="1" applyBorder="1"/>
    <xf numFmtId="44" fontId="0" fillId="0" borderId="7" xfId="5" applyFont="1" applyFill="1" applyBorder="1"/>
    <xf numFmtId="44" fontId="0" fillId="0" borderId="8" xfId="5" applyFont="1" applyFill="1" applyBorder="1"/>
    <xf numFmtId="0" fontId="1" fillId="0" borderId="9" xfId="0" applyFont="1" applyFill="1" applyBorder="1"/>
    <xf numFmtId="0" fontId="1" fillId="0" borderId="14" xfId="0" applyFont="1" applyFill="1" applyBorder="1"/>
    <xf numFmtId="0" fontId="1" fillId="0" borderId="4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65" fontId="1" fillId="6" borderId="0" xfId="2" applyNumberFormat="1" applyFont="1" applyFill="1" applyBorder="1"/>
    <xf numFmtId="165" fontId="0" fillId="6" borderId="0" xfId="2" applyNumberFormat="1" applyFont="1" applyFill="1" applyBorder="1"/>
    <xf numFmtId="164" fontId="0" fillId="6" borderId="0" xfId="2" applyFont="1" applyFill="1" applyBorder="1"/>
    <xf numFmtId="0" fontId="0" fillId="6" borderId="0" xfId="0" applyFill="1" applyBorder="1"/>
    <xf numFmtId="165" fontId="4" fillId="6" borderId="0" xfId="2" applyNumberFormat="1" applyFont="1" applyFill="1" applyBorder="1"/>
    <xf numFmtId="0" fontId="0" fillId="6" borderId="0" xfId="0" applyFont="1" applyFill="1" applyBorder="1"/>
    <xf numFmtId="3" fontId="1" fillId="6" borderId="0" xfId="0" applyNumberFormat="1" applyFont="1" applyFill="1"/>
    <xf numFmtId="165" fontId="0" fillId="6" borderId="0" xfId="2" applyNumberFormat="1" applyFont="1" applyFill="1"/>
    <xf numFmtId="165" fontId="1" fillId="6" borderId="0" xfId="2" applyNumberFormat="1" applyFont="1" applyFill="1"/>
    <xf numFmtId="44" fontId="0" fillId="0" borderId="5" xfId="0" applyNumberFormat="1" applyFill="1" applyBorder="1"/>
    <xf numFmtId="44" fontId="0" fillId="0" borderId="8" xfId="0" applyNumberFormat="1" applyFill="1" applyBorder="1"/>
    <xf numFmtId="0" fontId="0" fillId="0" borderId="11" xfId="0" applyFill="1" applyBorder="1"/>
    <xf numFmtId="0" fontId="1" fillId="0" borderId="11" xfId="0" applyFont="1" applyFill="1" applyBorder="1" applyAlignment="1">
      <alignment horizontal="center"/>
    </xf>
    <xf numFmtId="44" fontId="0" fillId="0" borderId="11" xfId="5" applyFont="1" applyFill="1" applyBorder="1"/>
    <xf numFmtId="44" fontId="0" fillId="0" borderId="12" xfId="5" applyFont="1" applyFill="1" applyBorder="1"/>
    <xf numFmtId="0" fontId="1" fillId="0" borderId="1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/>
    </xf>
    <xf numFmtId="0" fontId="0" fillId="3" borderId="12" xfId="0" applyFill="1" applyBorder="1" applyAlignment="1">
      <alignment vertical="top"/>
    </xf>
    <xf numFmtId="0" fontId="1" fillId="3" borderId="11" xfId="0" applyFont="1" applyFill="1" applyBorder="1" applyAlignment="1">
      <alignment horizontal="center" vertical="top"/>
    </xf>
    <xf numFmtId="0" fontId="1" fillId="4" borderId="11" xfId="0" applyFont="1" applyFill="1" applyBorder="1" applyAlignment="1">
      <alignment horizontal="center" vertical="top" wrapText="1"/>
    </xf>
    <xf numFmtId="0" fontId="0" fillId="4" borderId="12" xfId="0" applyFill="1" applyBorder="1" applyAlignment="1">
      <alignment vertical="top"/>
    </xf>
    <xf numFmtId="0" fontId="1" fillId="3" borderId="1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center" vertical="top"/>
    </xf>
    <xf numFmtId="0" fontId="0" fillId="3" borderId="12" xfId="0" applyFont="1" applyFill="1" applyBorder="1" applyAlignment="1">
      <alignment vertical="top"/>
    </xf>
    <xf numFmtId="0" fontId="1" fillId="3" borderId="10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/>
    </xf>
    <xf numFmtId="168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</cellXfs>
  <cellStyles count="6">
    <cellStyle name="Comma" xfId="2" builtinId="3"/>
    <cellStyle name="Currency" xfId="5" builtinId="4"/>
    <cellStyle name="Normal" xfId="0" builtinId="0"/>
    <cellStyle name="Normal_CP Templates 260209 am" xfId="4"/>
    <cellStyle name="Percent" xfId="3" builtinId="5"/>
    <cellStyle name="Style 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09DAD"/>
      <rgbColor rgb="00BFDEE4"/>
      <rgbColor rgb="00AA5CAA"/>
      <rgbColor rgb="00E3C9E3"/>
      <rgbColor rgb="00BDB694"/>
      <rgbColor rgb="00E9E7DB"/>
      <rgbColor rgb="009BCA40"/>
      <rgbColor rgb="00DEEDBF"/>
      <rgbColor rgb="00007C92"/>
      <rgbColor rgb="008E258D"/>
      <rgbColor rgb="00A79E70"/>
      <rgbColor rgb="007AB800"/>
      <rgbColor rgb="0000338D"/>
      <rgbColor rgb="00C84E00"/>
      <rgbColor rgb="0098C6EA"/>
      <rgbColor rgb="0000338D"/>
      <rgbColor rgb="004066AA"/>
      <rgbColor rgb="00BFCCE3"/>
      <rgbColor rgb="00D67A40"/>
      <rgbColor rgb="00F1D3BF"/>
      <rgbColor rgb="00B2D4EF"/>
      <rgbColor rgb="00E5F1FA"/>
      <rgbColor rgb="00B6646B"/>
      <rgbColor rgb="00E7CBCE"/>
      <rgbColor rgb="003366FF"/>
      <rgbColor rgb="0033CCCC"/>
      <rgbColor rgb="0099CC00"/>
      <rgbColor rgb="00F5B36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6E9EE"/>
      <rgbColor rgb="00333399"/>
      <rgbColor rgb="00333333"/>
    </indexedColors>
    <mruColors>
      <color rgb="FF409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UE NPV</a:t>
            </a:r>
            <a:r>
              <a:rPr lang="en-AU" baseline="0"/>
              <a:t> Expenditure and Revenue Recovery</a:t>
            </a:r>
            <a:endParaRPr lang="en-AU"/>
          </a:p>
        </c:rich>
      </c:tx>
      <c:layout>
        <c:manualLayout>
          <c:xMode val="edge"/>
          <c:yMode val="edge"/>
          <c:x val="2.2949710994018394E-2"/>
          <c:y val="3.6363636363636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054898148233901"/>
          <c:y val="0.1527158196134574"/>
          <c:w val="0.64723177017039035"/>
          <c:h val="0.55903435934144596"/>
        </c:manualLayout>
      </c:layout>
      <c:areaChart>
        <c:grouping val="standard"/>
        <c:varyColors val="0"/>
        <c:ser>
          <c:idx val="0"/>
          <c:order val="0"/>
          <c:tx>
            <c:strRef>
              <c:f>Recovery!$B$33</c:f>
              <c:strCache>
                <c:ptCount val="1"/>
                <c:pt idx="0">
                  <c:v>NPV (Expenditure)</c:v>
                </c:pt>
              </c:strCache>
            </c:strRef>
          </c:tx>
          <c:spPr>
            <a:solidFill>
              <a:srgbClr val="409DAD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Recovery!$C$36:$L$36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6111775.0927797705</c:v>
                </c:pt>
                <c:pt idx="2">
                  <c:v>23038097.526806198</c:v>
                </c:pt>
                <c:pt idx="3">
                  <c:v>63044725.38741266</c:v>
                </c:pt>
                <c:pt idx="4">
                  <c:v>49929737.424902022</c:v>
                </c:pt>
                <c:pt idx="5">
                  <c:v>58758364.021712817</c:v>
                </c:pt>
                <c:pt idx="6">
                  <c:v>50430661.590243898</c:v>
                </c:pt>
                <c:pt idx="7">
                  <c:v>52468502.631896414</c:v>
                </c:pt>
                <c:pt idx="8">
                  <c:v>29350333.342891507</c:v>
                </c:pt>
                <c:pt idx="9">
                  <c:v>11884524.476676451</c:v>
                </c:pt>
              </c:numCache>
            </c:numRef>
          </c:val>
        </c:ser>
        <c:ser>
          <c:idx val="1"/>
          <c:order val="1"/>
          <c:tx>
            <c:strRef>
              <c:f>Recovery!$B$51</c:f>
              <c:strCache>
                <c:ptCount val="1"/>
                <c:pt idx="0">
                  <c:v>NPV (Revenue)</c:v>
                </c:pt>
              </c:strCache>
            </c:strRef>
          </c:tx>
          <c:spPr>
            <a:solidFill>
              <a:srgbClr val="BFDEE4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Recovery!$C$54:$L$54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13483196.181545198</c:v>
                </c:pt>
                <c:pt idx="4">
                  <c:v>30601432.729009591</c:v>
                </c:pt>
                <c:pt idx="5">
                  <c:v>37155904.908479877</c:v>
                </c:pt>
                <c:pt idx="6">
                  <c:v>38859672.15173047</c:v>
                </c:pt>
                <c:pt idx="7">
                  <c:v>42723360.287002206</c:v>
                </c:pt>
                <c:pt idx="8">
                  <c:v>44913950.157667235</c:v>
                </c:pt>
                <c:pt idx="9">
                  <c:v>51372079.785784639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709512"/>
        <c:axId val="365711080"/>
      </c:areaChart>
      <c:catAx>
        <c:axId val="365709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65711080"/>
        <c:crosses val="autoZero"/>
        <c:auto val="1"/>
        <c:lblAlgn val="ctr"/>
        <c:lblOffset val="100"/>
        <c:noMultiLvlLbl val="0"/>
      </c:catAx>
      <c:valAx>
        <c:axId val="3657110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AU"/>
                  <a:t>$</a:t>
                </a:r>
              </a:p>
            </c:rich>
          </c:tx>
          <c:layout>
            <c:manualLayout>
              <c:xMode val="edge"/>
              <c:yMode val="edge"/>
              <c:x val="2.5818424868270691E-2"/>
              <c:y val="0.32011560486757334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6570951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1641958681564747"/>
          <c:y val="0.83636363636363631"/>
          <c:w val="0.47784054061929432"/>
          <c:h val="6.747995705082318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900" b="1" i="0" baseline="0">
                <a:solidFill>
                  <a:schemeClr val="tx2"/>
                </a:solidFill>
                <a:latin typeface="Arial" panose="020B0604020202020204" pitchFamily="34" charset="0"/>
              </a:rPr>
              <a:t>Operating expenditure 2009-2015</a:t>
            </a:r>
          </a:p>
          <a:p>
            <a:pPr>
              <a:defRPr/>
            </a:pPr>
            <a:r>
              <a:rPr lang="en-AU" sz="900" b="1" i="0" baseline="0">
                <a:solidFill>
                  <a:schemeClr val="tx2"/>
                </a:solidFill>
                <a:latin typeface="Arial" panose="020B0604020202020204" pitchFamily="34" charset="0"/>
              </a:rPr>
              <a:t>(per meter)</a:t>
            </a:r>
          </a:p>
        </c:rich>
      </c:tx>
      <c:layout>
        <c:manualLayout>
          <c:xMode val="edge"/>
          <c:yMode val="edge"/>
          <c:x val="0.32338188976377952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09DAD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Benchmarking!$B$77:$B$81</c:f>
              <c:strCache>
                <c:ptCount val="5"/>
                <c:pt idx="0">
                  <c:v>United Energy </c:v>
                </c:pt>
                <c:pt idx="1">
                  <c:v>Powercor</c:v>
                </c:pt>
                <c:pt idx="2">
                  <c:v>Citipower</c:v>
                </c:pt>
                <c:pt idx="3">
                  <c:v>SP Ausnet</c:v>
                </c:pt>
                <c:pt idx="4">
                  <c:v>Jemena</c:v>
                </c:pt>
              </c:strCache>
            </c:strRef>
          </c:cat>
          <c:val>
            <c:numRef>
              <c:f>Benchmarking!$I$77:$I$81</c:f>
              <c:numCache>
                <c:formatCode>_(* #,##0_);_(* \(#,##0\);_(* "-"??_);_(@_)</c:formatCode>
                <c:ptCount val="5"/>
                <c:pt idx="0">
                  <c:v>239.00259567108972</c:v>
                </c:pt>
                <c:pt idx="1">
                  <c:v>206.34148669612105</c:v>
                </c:pt>
                <c:pt idx="2">
                  <c:v>239.98453872800499</c:v>
                </c:pt>
                <c:pt idx="3">
                  <c:v>411.15471466621739</c:v>
                </c:pt>
                <c:pt idx="4">
                  <c:v>375.30982132918524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52773952"/>
        <c:axId val="352774344"/>
      </c:barChart>
      <c:catAx>
        <c:axId val="35277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352774344"/>
        <c:crosses val="autoZero"/>
        <c:auto val="1"/>
        <c:lblAlgn val="ctr"/>
        <c:lblOffset val="100"/>
        <c:noMultiLvlLbl val="0"/>
      </c:catAx>
      <c:valAx>
        <c:axId val="3527743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77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900" b="1" i="0" baseline="0">
                <a:solidFill>
                  <a:schemeClr val="tx2"/>
                </a:solidFill>
                <a:latin typeface="Arial" panose="020B0604020202020204" pitchFamily="34" charset="0"/>
              </a:rPr>
              <a:t>Total expenditure 2009-2015</a:t>
            </a:r>
          </a:p>
          <a:p>
            <a:pPr>
              <a:defRPr/>
            </a:pPr>
            <a:r>
              <a:rPr lang="en-AU" sz="900" b="1" i="0" baseline="0">
                <a:solidFill>
                  <a:schemeClr val="tx2"/>
                </a:solidFill>
                <a:latin typeface="Arial" panose="020B0604020202020204" pitchFamily="34" charset="0"/>
              </a:rPr>
              <a:t>(per meter)</a:t>
            </a:r>
          </a:p>
        </c:rich>
      </c:tx>
      <c:layout>
        <c:manualLayout>
          <c:xMode val="edge"/>
          <c:yMode val="edge"/>
          <c:x val="0.34785411198600175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09DAD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Benchmarking!$B$77:$B$81</c:f>
              <c:strCache>
                <c:ptCount val="5"/>
                <c:pt idx="0">
                  <c:v>United Energy </c:v>
                </c:pt>
                <c:pt idx="1">
                  <c:v>Powercor</c:v>
                </c:pt>
                <c:pt idx="2">
                  <c:v>Citipower</c:v>
                </c:pt>
                <c:pt idx="3">
                  <c:v>SP Ausnet</c:v>
                </c:pt>
                <c:pt idx="4">
                  <c:v>Jemena</c:v>
                </c:pt>
              </c:strCache>
            </c:strRef>
          </c:cat>
          <c:val>
            <c:numRef>
              <c:f>Benchmarking!$E$77:$E$81</c:f>
              <c:numCache>
                <c:formatCode>_(* #,##0_);_(* \(#,##0\);_(* "-"??_);_(@_)</c:formatCode>
                <c:ptCount val="5"/>
                <c:pt idx="0">
                  <c:v>799.54090936385444</c:v>
                </c:pt>
                <c:pt idx="1">
                  <c:v>896.0187344595945</c:v>
                </c:pt>
                <c:pt idx="2">
                  <c:v>854.89813875012396</c:v>
                </c:pt>
                <c:pt idx="3">
                  <c:v>1315.058485310954</c:v>
                </c:pt>
                <c:pt idx="4">
                  <c:v>1092.3529781416546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16096264"/>
        <c:axId val="416096656"/>
      </c:barChart>
      <c:catAx>
        <c:axId val="416096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16096656"/>
        <c:crosses val="autoZero"/>
        <c:auto val="1"/>
        <c:lblAlgn val="ctr"/>
        <c:lblOffset val="100"/>
        <c:noMultiLvlLbl val="0"/>
      </c:catAx>
      <c:valAx>
        <c:axId val="4160966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096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anchor="t" anchorCtr="0"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900" b="1" baseline="0">
                <a:solidFill>
                  <a:schemeClr val="tx2"/>
                </a:solidFill>
                <a:latin typeface="Arial" panose="020B0604020202020204" pitchFamily="34" charset="0"/>
              </a:rPr>
              <a:t>Total expenditure 2012-2015</a:t>
            </a:r>
          </a:p>
          <a:p>
            <a:pPr>
              <a:defRPr/>
            </a:pPr>
            <a:r>
              <a:rPr lang="en-AU" sz="900" b="1" baseline="0">
                <a:solidFill>
                  <a:schemeClr val="tx2"/>
                </a:solidFill>
                <a:latin typeface="Arial" panose="020B0604020202020204" pitchFamily="34" charset="0"/>
              </a:rPr>
              <a:t>(per meter)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09DAD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Benchmarking!$B$20:$B$24</c:f>
              <c:strCache>
                <c:ptCount val="5"/>
                <c:pt idx="0">
                  <c:v>United Energy </c:v>
                </c:pt>
                <c:pt idx="1">
                  <c:v>Powercor</c:v>
                </c:pt>
                <c:pt idx="2">
                  <c:v>Citipower</c:v>
                </c:pt>
                <c:pt idx="3">
                  <c:v>SP Ausnet</c:v>
                </c:pt>
                <c:pt idx="4">
                  <c:v>Jemena</c:v>
                </c:pt>
              </c:strCache>
            </c:strRef>
          </c:cat>
          <c:val>
            <c:numRef>
              <c:f>Benchmarking!$E$20:$E$24</c:f>
              <c:numCache>
                <c:formatCode>_(* #,##0_);_(* \(#,##0\);_(* "-"??_);_(@_)</c:formatCode>
                <c:ptCount val="5"/>
                <c:pt idx="0">
                  <c:v>396.06115447228507</c:v>
                </c:pt>
                <c:pt idx="1">
                  <c:v>423.13890655642427</c:v>
                </c:pt>
                <c:pt idx="2">
                  <c:v>395.32445930178716</c:v>
                </c:pt>
                <c:pt idx="3">
                  <c:v>803.60092750665297</c:v>
                </c:pt>
                <c:pt idx="4">
                  <c:v>544.44112818517442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16097440"/>
        <c:axId val="416097832"/>
      </c:barChart>
      <c:catAx>
        <c:axId val="41609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097832"/>
        <c:crosses val="autoZero"/>
        <c:auto val="1"/>
        <c:lblAlgn val="ctr"/>
        <c:lblOffset val="100"/>
        <c:noMultiLvlLbl val="0"/>
      </c:catAx>
      <c:valAx>
        <c:axId val="41609783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09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UE NPV</a:t>
            </a:r>
            <a:r>
              <a:rPr lang="en-AU" baseline="0"/>
              <a:t> Expenditure and Revenue Recovery</a:t>
            </a:r>
            <a:endParaRPr lang="en-AU"/>
          </a:p>
        </c:rich>
      </c:tx>
      <c:layout>
        <c:manualLayout>
          <c:xMode val="edge"/>
          <c:yMode val="edge"/>
          <c:x val="2.29497109940184E-2"/>
          <c:y val="3.6363636363636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054898148233912"/>
          <c:y val="0.1527158196134574"/>
          <c:w val="0.64723177017039069"/>
          <c:h val="0.55903435934144596"/>
        </c:manualLayout>
      </c:layout>
      <c:areaChart>
        <c:grouping val="standard"/>
        <c:varyColors val="0"/>
        <c:ser>
          <c:idx val="0"/>
          <c:order val="0"/>
          <c:tx>
            <c:strRef>
              <c:f>Recovery!$B$33</c:f>
              <c:strCache>
                <c:ptCount val="1"/>
                <c:pt idx="0">
                  <c:v>NPV (Expenditure)</c:v>
                </c:pt>
              </c:strCache>
            </c:strRef>
          </c:tx>
          <c:spPr>
            <a:solidFill>
              <a:srgbClr val="409DAD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Recovery!$C$36:$L$36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6111775.0927797705</c:v>
                </c:pt>
                <c:pt idx="2">
                  <c:v>23038097.526806198</c:v>
                </c:pt>
                <c:pt idx="3">
                  <c:v>63044725.38741266</c:v>
                </c:pt>
                <c:pt idx="4">
                  <c:v>49929737.424902022</c:v>
                </c:pt>
                <c:pt idx="5">
                  <c:v>58758364.021712817</c:v>
                </c:pt>
                <c:pt idx="6">
                  <c:v>50430661.590243898</c:v>
                </c:pt>
                <c:pt idx="7">
                  <c:v>52468502.631896414</c:v>
                </c:pt>
                <c:pt idx="8">
                  <c:v>29350333.342891507</c:v>
                </c:pt>
                <c:pt idx="9">
                  <c:v>11884524.476676451</c:v>
                </c:pt>
              </c:numCache>
            </c:numRef>
          </c:val>
        </c:ser>
        <c:ser>
          <c:idx val="1"/>
          <c:order val="1"/>
          <c:tx>
            <c:strRef>
              <c:f>Recovery!$B$51</c:f>
              <c:strCache>
                <c:ptCount val="1"/>
                <c:pt idx="0">
                  <c:v>NPV (Revenue)</c:v>
                </c:pt>
              </c:strCache>
            </c:strRef>
          </c:tx>
          <c:spPr>
            <a:solidFill>
              <a:srgbClr val="BFDEE4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Recovery!$C$54:$L$54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13483196.181545198</c:v>
                </c:pt>
                <c:pt idx="4">
                  <c:v>30601432.729009591</c:v>
                </c:pt>
                <c:pt idx="5">
                  <c:v>37155904.908479877</c:v>
                </c:pt>
                <c:pt idx="6">
                  <c:v>38859672.15173047</c:v>
                </c:pt>
                <c:pt idx="7">
                  <c:v>42723360.287002206</c:v>
                </c:pt>
                <c:pt idx="8">
                  <c:v>44913950.157667235</c:v>
                </c:pt>
                <c:pt idx="9">
                  <c:v>51372079.785784639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098616"/>
        <c:axId val="416099008"/>
      </c:areaChart>
      <c:catAx>
        <c:axId val="416098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416099008"/>
        <c:crosses val="autoZero"/>
        <c:auto val="1"/>
        <c:lblAlgn val="ctr"/>
        <c:lblOffset val="100"/>
        <c:noMultiLvlLbl val="0"/>
      </c:catAx>
      <c:valAx>
        <c:axId val="4160990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AU"/>
                  <a:t>$</a:t>
                </a:r>
              </a:p>
            </c:rich>
          </c:tx>
          <c:layout>
            <c:manualLayout>
              <c:xMode val="edge"/>
              <c:yMode val="edge"/>
              <c:x val="2.5818424868270688E-2"/>
              <c:y val="0.32011560486757346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41609861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1641958681564769"/>
          <c:y val="0.83636363636363653"/>
          <c:w val="0.47784054061929432"/>
          <c:h val="6.747995705082321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UE NPV</a:t>
            </a:r>
            <a:r>
              <a:rPr lang="en-AU" baseline="0"/>
              <a:t> Expenditure and Revenue Recovery - Cumulative</a:t>
            </a:r>
            <a:endParaRPr lang="en-AU"/>
          </a:p>
        </c:rich>
      </c:tx>
      <c:layout>
        <c:manualLayout>
          <c:xMode val="edge"/>
          <c:yMode val="edge"/>
          <c:x val="2.29497109940184E-2"/>
          <c:y val="3.6363636363636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054898148233926"/>
          <c:y val="0.1527158196134574"/>
          <c:w val="0.64723177017039091"/>
          <c:h val="0.55903435934144596"/>
        </c:manualLayout>
      </c:layout>
      <c:areaChart>
        <c:grouping val="standard"/>
        <c:varyColors val="0"/>
        <c:ser>
          <c:idx val="0"/>
          <c:order val="0"/>
          <c:tx>
            <c:strRef>
              <c:f>Recovery!$B$42</c:f>
              <c:strCache>
                <c:ptCount val="1"/>
                <c:pt idx="0">
                  <c:v>NPV (Expenditure) - Cumulative</c:v>
                </c:pt>
              </c:strCache>
            </c:strRef>
          </c:tx>
          <c:spPr>
            <a:solidFill>
              <a:srgbClr val="409DAD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Recovery!$C$45:$L$45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6111775.0927797705</c:v>
                </c:pt>
                <c:pt idx="2">
                  <c:v>29149872.619585969</c:v>
                </c:pt>
                <c:pt idx="3">
                  <c:v>92194598.006998628</c:v>
                </c:pt>
                <c:pt idx="4">
                  <c:v>142124335.43190065</c:v>
                </c:pt>
                <c:pt idx="5">
                  <c:v>200882699.45361346</c:v>
                </c:pt>
                <c:pt idx="6">
                  <c:v>251313361.04385737</c:v>
                </c:pt>
                <c:pt idx="7">
                  <c:v>303781863.67575377</c:v>
                </c:pt>
                <c:pt idx="8">
                  <c:v>333132197.01864529</c:v>
                </c:pt>
                <c:pt idx="9">
                  <c:v>345016721.49532175</c:v>
                </c:pt>
              </c:numCache>
            </c:numRef>
          </c:val>
        </c:ser>
        <c:ser>
          <c:idx val="1"/>
          <c:order val="1"/>
          <c:tx>
            <c:strRef>
              <c:f>Recovery!$B$60</c:f>
              <c:strCache>
                <c:ptCount val="1"/>
                <c:pt idx="0">
                  <c:v>NPV (Revenue) - Cumulative</c:v>
                </c:pt>
              </c:strCache>
            </c:strRef>
          </c:tx>
          <c:spPr>
            <a:solidFill>
              <a:srgbClr val="BFDEE4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Recovery!$C$63:$L$63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13483196.181545198</c:v>
                </c:pt>
                <c:pt idx="4">
                  <c:v>44084628.910554789</c:v>
                </c:pt>
                <c:pt idx="5">
                  <c:v>81240533.819034666</c:v>
                </c:pt>
                <c:pt idx="6">
                  <c:v>120100205.97076514</c:v>
                </c:pt>
                <c:pt idx="7">
                  <c:v>162823566.25776735</c:v>
                </c:pt>
                <c:pt idx="8">
                  <c:v>207737516.4154346</c:v>
                </c:pt>
                <c:pt idx="9">
                  <c:v>259109596.20121923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099792"/>
        <c:axId val="416100184"/>
      </c:areaChart>
      <c:catAx>
        <c:axId val="41609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416100184"/>
        <c:crosses val="autoZero"/>
        <c:auto val="1"/>
        <c:lblAlgn val="ctr"/>
        <c:lblOffset val="100"/>
        <c:noMultiLvlLbl val="0"/>
      </c:catAx>
      <c:valAx>
        <c:axId val="4161001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AU"/>
                  <a:t>$</a:t>
                </a:r>
              </a:p>
            </c:rich>
          </c:tx>
          <c:layout>
            <c:manualLayout>
              <c:xMode val="edge"/>
              <c:yMode val="edge"/>
              <c:x val="2.5818424868270688E-2"/>
              <c:y val="0.32011560486757357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41609979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708447639534129"/>
          <c:y val="0.83181818181818179"/>
          <c:w val="0.77905549741578617"/>
          <c:h val="9.92981388690050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Citipower NPV</a:t>
            </a:r>
            <a:r>
              <a:rPr lang="en-AU" baseline="0"/>
              <a:t> Expenditure and Revenue Recovery</a:t>
            </a:r>
            <a:endParaRPr lang="en-AU"/>
          </a:p>
        </c:rich>
      </c:tx>
      <c:layout>
        <c:manualLayout>
          <c:xMode val="edge"/>
          <c:yMode val="edge"/>
          <c:x val="2.29497109940184E-2"/>
          <c:y val="3.6363636363636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054898148233926"/>
          <c:y val="0.1527158196134574"/>
          <c:w val="0.64723177017039091"/>
          <c:h val="0.55903435934144596"/>
        </c:manualLayout>
      </c:layout>
      <c:areaChart>
        <c:grouping val="standard"/>
        <c:varyColors val="0"/>
        <c:ser>
          <c:idx val="0"/>
          <c:order val="0"/>
          <c:tx>
            <c:strRef>
              <c:f>Recovery!$B$33</c:f>
              <c:strCache>
                <c:ptCount val="1"/>
                <c:pt idx="0">
                  <c:v>NPV (Expenditure)</c:v>
                </c:pt>
              </c:strCache>
            </c:strRef>
          </c:tx>
          <c:spPr>
            <a:solidFill>
              <a:srgbClr val="409DAD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Recovery!$C$37:$L$37</c:f>
              <c:numCache>
                <c:formatCode>_(* #,##0_);_(* \(#,##0\);_(* "-"??_);_(@_)</c:formatCode>
                <c:ptCount val="10"/>
                <c:pt idx="0">
                  <c:v>1781878.2280454</c:v>
                </c:pt>
                <c:pt idx="1">
                  <c:v>7609710.0003236393</c:v>
                </c:pt>
                <c:pt idx="2">
                  <c:v>16871843.956462525</c:v>
                </c:pt>
                <c:pt idx="3">
                  <c:v>44042557.608954787</c:v>
                </c:pt>
                <c:pt idx="4">
                  <c:v>79710517.527826205</c:v>
                </c:pt>
                <c:pt idx="5">
                  <c:v>90862959.688346222</c:v>
                </c:pt>
                <c:pt idx="6">
                  <c:v>77914623.522457376</c:v>
                </c:pt>
                <c:pt idx="7">
                  <c:v>53346276.073810451</c:v>
                </c:pt>
                <c:pt idx="8">
                  <c:v>18463844.242367782</c:v>
                </c:pt>
                <c:pt idx="9">
                  <c:v>15867728.253257904</c:v>
                </c:pt>
              </c:numCache>
            </c:numRef>
          </c:val>
        </c:ser>
        <c:ser>
          <c:idx val="1"/>
          <c:order val="1"/>
          <c:tx>
            <c:strRef>
              <c:f>Recovery!$B$51</c:f>
              <c:strCache>
                <c:ptCount val="1"/>
                <c:pt idx="0">
                  <c:v>NPV (Revenue)</c:v>
                </c:pt>
              </c:strCache>
            </c:strRef>
          </c:tx>
          <c:spPr>
            <a:solidFill>
              <a:srgbClr val="BFDEE4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Recovery!$C$55:$L$55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23837769.261879355</c:v>
                </c:pt>
                <c:pt idx="4">
                  <c:v>47299737.06063395</c:v>
                </c:pt>
                <c:pt idx="5">
                  <c:v>43665087.710609667</c:v>
                </c:pt>
                <c:pt idx="6">
                  <c:v>43496247.002527945</c:v>
                </c:pt>
                <c:pt idx="7">
                  <c:v>50248153.471375927</c:v>
                </c:pt>
                <c:pt idx="8">
                  <c:v>43752659.946504422</c:v>
                </c:pt>
                <c:pt idx="9">
                  <c:v>41019833.937976696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100968"/>
        <c:axId val="416101360"/>
      </c:areaChart>
      <c:catAx>
        <c:axId val="416100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416101360"/>
        <c:crosses val="autoZero"/>
        <c:auto val="1"/>
        <c:lblAlgn val="ctr"/>
        <c:lblOffset val="100"/>
        <c:noMultiLvlLbl val="0"/>
      </c:catAx>
      <c:valAx>
        <c:axId val="4161013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AU"/>
                  <a:t>$</a:t>
                </a:r>
              </a:p>
            </c:rich>
          </c:tx>
          <c:layout>
            <c:manualLayout>
              <c:xMode val="edge"/>
              <c:yMode val="edge"/>
              <c:x val="2.5818424868270688E-2"/>
              <c:y val="0.32011560486757357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41610096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1641958681564797"/>
          <c:y val="0.83636363636363664"/>
          <c:w val="0.47784054061929432"/>
          <c:h val="6.74799570508232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Citipower NPV</a:t>
            </a:r>
            <a:r>
              <a:rPr lang="en-AU" baseline="0"/>
              <a:t> Expenditure and Revenue Recovery - Cumulative</a:t>
            </a:r>
            <a:endParaRPr lang="en-AU"/>
          </a:p>
        </c:rich>
      </c:tx>
      <c:layout>
        <c:manualLayout>
          <c:xMode val="edge"/>
          <c:yMode val="edge"/>
          <c:x val="3.442456649102759E-2"/>
          <c:y val="2.27272727272727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054898148233937"/>
          <c:y val="0.1527158196134574"/>
          <c:w val="0.64723177017039113"/>
          <c:h val="0.55903435934144596"/>
        </c:manualLayout>
      </c:layout>
      <c:areaChart>
        <c:grouping val="standard"/>
        <c:varyColors val="0"/>
        <c:ser>
          <c:idx val="0"/>
          <c:order val="0"/>
          <c:tx>
            <c:strRef>
              <c:f>Recovery!$B$42</c:f>
              <c:strCache>
                <c:ptCount val="1"/>
                <c:pt idx="0">
                  <c:v>NPV (Expenditure) - Cumulative</c:v>
                </c:pt>
              </c:strCache>
            </c:strRef>
          </c:tx>
          <c:spPr>
            <a:solidFill>
              <a:srgbClr val="409DAD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Recovery!$C$46:$L$46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7609710.0003236393</c:v>
                </c:pt>
                <c:pt idx="2">
                  <c:v>24481553.956786163</c:v>
                </c:pt>
                <c:pt idx="3">
                  <c:v>68524111.565740943</c:v>
                </c:pt>
                <c:pt idx="4">
                  <c:v>148234629.09356713</c:v>
                </c:pt>
                <c:pt idx="5">
                  <c:v>239097588.78191334</c:v>
                </c:pt>
                <c:pt idx="6">
                  <c:v>317012212.3043707</c:v>
                </c:pt>
                <c:pt idx="7">
                  <c:v>370358488.37818116</c:v>
                </c:pt>
                <c:pt idx="8">
                  <c:v>388822332.62054896</c:v>
                </c:pt>
                <c:pt idx="9">
                  <c:v>404690060.87380689</c:v>
                </c:pt>
              </c:numCache>
            </c:numRef>
          </c:val>
        </c:ser>
        <c:ser>
          <c:idx val="1"/>
          <c:order val="1"/>
          <c:tx>
            <c:strRef>
              <c:f>Recovery!$B$60</c:f>
              <c:strCache>
                <c:ptCount val="1"/>
                <c:pt idx="0">
                  <c:v>NPV (Revenue) - Cumulative</c:v>
                </c:pt>
              </c:strCache>
            </c:strRef>
          </c:tx>
          <c:spPr>
            <a:solidFill>
              <a:srgbClr val="BFDEE4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Recovery!$C$64:$L$64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23837769.261879355</c:v>
                </c:pt>
                <c:pt idx="4">
                  <c:v>71137506.322513312</c:v>
                </c:pt>
                <c:pt idx="5">
                  <c:v>114802594.03312299</c:v>
                </c:pt>
                <c:pt idx="6">
                  <c:v>158298841.03565094</c:v>
                </c:pt>
                <c:pt idx="7">
                  <c:v>208546994.50702685</c:v>
                </c:pt>
                <c:pt idx="8">
                  <c:v>252299654.45353127</c:v>
                </c:pt>
                <c:pt idx="9">
                  <c:v>293319488.39150798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102144"/>
        <c:axId val="416102536"/>
      </c:areaChart>
      <c:catAx>
        <c:axId val="41610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416102536"/>
        <c:crosses val="autoZero"/>
        <c:auto val="1"/>
        <c:lblAlgn val="ctr"/>
        <c:lblOffset val="100"/>
        <c:noMultiLvlLbl val="0"/>
      </c:catAx>
      <c:valAx>
        <c:axId val="4161025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AU"/>
                  <a:t>$</a:t>
                </a:r>
              </a:p>
            </c:rich>
          </c:tx>
          <c:layout>
            <c:manualLayout>
              <c:xMode val="edge"/>
              <c:yMode val="edge"/>
              <c:x val="2.5818424868270688E-2"/>
              <c:y val="0.32011560486757368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41610214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708447639534129"/>
          <c:y val="0.83181818181818179"/>
          <c:w val="0.77905549741578684"/>
          <c:h val="9.92981388690050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Powercor NPV</a:t>
            </a:r>
            <a:r>
              <a:rPr lang="en-AU" baseline="0"/>
              <a:t> Expenditure and Revenue Recovery</a:t>
            </a:r>
            <a:endParaRPr lang="en-AU"/>
          </a:p>
        </c:rich>
      </c:tx>
      <c:layout>
        <c:manualLayout>
          <c:xMode val="edge"/>
          <c:yMode val="edge"/>
          <c:x val="2.29497109940184E-2"/>
          <c:y val="3.6363636363636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054898148233937"/>
          <c:y val="0.1527158196134574"/>
          <c:w val="0.64723177017039113"/>
          <c:h val="0.55903435934144596"/>
        </c:manualLayout>
      </c:layout>
      <c:areaChart>
        <c:grouping val="standard"/>
        <c:varyColors val="0"/>
        <c:ser>
          <c:idx val="0"/>
          <c:order val="0"/>
          <c:tx>
            <c:strRef>
              <c:f>Recovery!$B$33</c:f>
              <c:strCache>
                <c:ptCount val="1"/>
                <c:pt idx="0">
                  <c:v>NPV (Expenditure)</c:v>
                </c:pt>
              </c:strCache>
            </c:strRef>
          </c:tx>
          <c:spPr>
            <a:solidFill>
              <a:srgbClr val="409DAD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Recovery!$C$38:$L$38</c:f>
              <c:numCache>
                <c:formatCode>_(* #,##0_);_(* \(#,##0\);_(* "-"??_);_(@_)</c:formatCode>
                <c:ptCount val="10"/>
                <c:pt idx="0">
                  <c:v>787661.98201939662</c:v>
                </c:pt>
                <c:pt idx="1">
                  <c:v>4381326.3765347293</c:v>
                </c:pt>
                <c:pt idx="2">
                  <c:v>9200505.8798303548</c:v>
                </c:pt>
                <c:pt idx="3">
                  <c:v>20842405.752014045</c:v>
                </c:pt>
                <c:pt idx="4">
                  <c:v>33518954.497071799</c:v>
                </c:pt>
                <c:pt idx="5">
                  <c:v>36723001.874273658</c:v>
                </c:pt>
                <c:pt idx="6">
                  <c:v>30702597.116271645</c:v>
                </c:pt>
                <c:pt idx="7">
                  <c:v>21544236.008742303</c:v>
                </c:pt>
                <c:pt idx="8">
                  <c:v>7260170.1472697482</c:v>
                </c:pt>
                <c:pt idx="9">
                  <c:v>6450309.2061903793</c:v>
                </c:pt>
              </c:numCache>
            </c:numRef>
          </c:val>
        </c:ser>
        <c:ser>
          <c:idx val="1"/>
          <c:order val="1"/>
          <c:tx>
            <c:strRef>
              <c:f>Recovery!$B$51</c:f>
              <c:strCache>
                <c:ptCount val="1"/>
                <c:pt idx="0">
                  <c:v>NPV (Revenue)</c:v>
                </c:pt>
              </c:strCache>
            </c:strRef>
          </c:tx>
          <c:spPr>
            <a:solidFill>
              <a:srgbClr val="BFDEE4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Recovery!$C$56:$L$56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8884393.9136638828</c:v>
                </c:pt>
                <c:pt idx="4">
                  <c:v>21979618.06268549</c:v>
                </c:pt>
                <c:pt idx="5">
                  <c:v>17875497.450156745</c:v>
                </c:pt>
                <c:pt idx="6">
                  <c:v>17785891.399364967</c:v>
                </c:pt>
                <c:pt idx="7">
                  <c:v>21303731.340392463</c:v>
                </c:pt>
                <c:pt idx="8">
                  <c:v>18698060.270150978</c:v>
                </c:pt>
                <c:pt idx="9">
                  <c:v>17514075.423160709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103320"/>
        <c:axId val="416103712"/>
      </c:areaChart>
      <c:catAx>
        <c:axId val="416103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416103712"/>
        <c:crosses val="autoZero"/>
        <c:auto val="1"/>
        <c:lblAlgn val="ctr"/>
        <c:lblOffset val="100"/>
        <c:noMultiLvlLbl val="0"/>
      </c:catAx>
      <c:valAx>
        <c:axId val="416103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AU"/>
                  <a:t>$</a:t>
                </a:r>
              </a:p>
            </c:rich>
          </c:tx>
          <c:layout>
            <c:manualLayout>
              <c:xMode val="edge"/>
              <c:yMode val="edge"/>
              <c:x val="2.5818424868270688E-2"/>
              <c:y val="0.32011560486757368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41610332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1641958681564819"/>
          <c:y val="0.83636363636363664"/>
          <c:w val="0.47784054061929432"/>
          <c:h val="6.74799570508232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Powercor NPV</a:t>
            </a:r>
            <a:r>
              <a:rPr lang="en-AU" baseline="0"/>
              <a:t> Expenditure and Revenue Recovery - Cumulative</a:t>
            </a:r>
            <a:endParaRPr lang="en-AU"/>
          </a:p>
        </c:rich>
      </c:tx>
      <c:layout>
        <c:manualLayout>
          <c:xMode val="edge"/>
          <c:yMode val="edge"/>
          <c:x val="3.442456649102759E-2"/>
          <c:y val="2.27272727272727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054898148233951"/>
          <c:y val="0.1527158196134574"/>
          <c:w val="0.64723177017039135"/>
          <c:h val="0.55903435934144596"/>
        </c:manualLayout>
      </c:layout>
      <c:areaChart>
        <c:grouping val="standard"/>
        <c:varyColors val="0"/>
        <c:ser>
          <c:idx val="0"/>
          <c:order val="0"/>
          <c:tx>
            <c:strRef>
              <c:f>Recovery!$B$42</c:f>
              <c:strCache>
                <c:ptCount val="1"/>
                <c:pt idx="0">
                  <c:v>NPV (Expenditure) - Cumulative</c:v>
                </c:pt>
              </c:strCache>
            </c:strRef>
          </c:tx>
          <c:spPr>
            <a:solidFill>
              <a:srgbClr val="409DAD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Recovery!$C$47:$L$47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4381326.3765347293</c:v>
                </c:pt>
                <c:pt idx="2">
                  <c:v>13581832.256365083</c:v>
                </c:pt>
                <c:pt idx="3">
                  <c:v>34424238.008379132</c:v>
                </c:pt>
                <c:pt idx="4">
                  <c:v>67943192.505450934</c:v>
                </c:pt>
                <c:pt idx="5">
                  <c:v>104666194.37972459</c:v>
                </c:pt>
                <c:pt idx="6">
                  <c:v>135368791.49599624</c:v>
                </c:pt>
                <c:pt idx="7">
                  <c:v>156913027.50473854</c:v>
                </c:pt>
                <c:pt idx="8">
                  <c:v>164173197.6520083</c:v>
                </c:pt>
                <c:pt idx="9">
                  <c:v>170623506.85819867</c:v>
                </c:pt>
              </c:numCache>
            </c:numRef>
          </c:val>
        </c:ser>
        <c:ser>
          <c:idx val="1"/>
          <c:order val="1"/>
          <c:tx>
            <c:strRef>
              <c:f>Recovery!$B$60</c:f>
              <c:strCache>
                <c:ptCount val="1"/>
                <c:pt idx="0">
                  <c:v>NPV (Revenue) - Cumulative</c:v>
                </c:pt>
              </c:strCache>
            </c:strRef>
          </c:tx>
          <c:spPr>
            <a:solidFill>
              <a:srgbClr val="BFDEE4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Recovery!$C$65:$L$65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8884393.9136638828</c:v>
                </c:pt>
                <c:pt idx="4">
                  <c:v>30864011.976349372</c:v>
                </c:pt>
                <c:pt idx="5">
                  <c:v>48739509.426506117</c:v>
                </c:pt>
                <c:pt idx="6">
                  <c:v>66525400.82587108</c:v>
                </c:pt>
                <c:pt idx="7">
                  <c:v>87829132.166263551</c:v>
                </c:pt>
                <c:pt idx="8">
                  <c:v>106527192.43641452</c:v>
                </c:pt>
                <c:pt idx="9">
                  <c:v>124041267.85957524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495528"/>
        <c:axId val="357495920"/>
      </c:areaChart>
      <c:catAx>
        <c:axId val="357495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57495920"/>
        <c:crosses val="autoZero"/>
        <c:auto val="1"/>
        <c:lblAlgn val="ctr"/>
        <c:lblOffset val="100"/>
        <c:noMultiLvlLbl val="0"/>
      </c:catAx>
      <c:valAx>
        <c:axId val="3574959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AU"/>
                  <a:t>$</a:t>
                </a:r>
              </a:p>
            </c:rich>
          </c:tx>
          <c:layout>
            <c:manualLayout>
              <c:xMode val="edge"/>
              <c:yMode val="edge"/>
              <c:x val="2.5818424868270688E-2"/>
              <c:y val="0.32011560486757384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5749552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708447639534129"/>
          <c:y val="0.83181818181818179"/>
          <c:w val="0.77905549741578739"/>
          <c:h val="9.92981388690050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SP</a:t>
            </a:r>
            <a:r>
              <a:rPr lang="en-AU" baseline="0"/>
              <a:t> Ausnet</a:t>
            </a:r>
            <a:r>
              <a:rPr lang="en-AU"/>
              <a:t> NPV</a:t>
            </a:r>
            <a:r>
              <a:rPr lang="en-AU" baseline="0"/>
              <a:t> Expenditure and Revenue Recovery</a:t>
            </a:r>
            <a:endParaRPr lang="en-AU"/>
          </a:p>
        </c:rich>
      </c:tx>
      <c:layout>
        <c:manualLayout>
          <c:xMode val="edge"/>
          <c:yMode val="edge"/>
          <c:x val="2.29497109940184E-2"/>
          <c:y val="3.6363636363636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054898148233951"/>
          <c:y val="0.1527158196134574"/>
          <c:w val="0.64723177017039135"/>
          <c:h val="0.55903435934144596"/>
        </c:manualLayout>
      </c:layout>
      <c:areaChart>
        <c:grouping val="standard"/>
        <c:varyColors val="0"/>
        <c:ser>
          <c:idx val="0"/>
          <c:order val="0"/>
          <c:tx>
            <c:strRef>
              <c:f>Recovery!$B$33</c:f>
              <c:strCache>
                <c:ptCount val="1"/>
                <c:pt idx="0">
                  <c:v>NPV (Expenditure)</c:v>
                </c:pt>
              </c:strCache>
            </c:strRef>
          </c:tx>
          <c:spPr>
            <a:solidFill>
              <a:srgbClr val="409DAD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Recovery!$C$39:$L$39</c:f>
              <c:numCache>
                <c:formatCode>_(* #,##0_);_(* \(#,##0\);_(* "-"??_);_(@_)</c:formatCode>
                <c:ptCount val="10"/>
                <c:pt idx="0">
                  <c:v>983865.43327069946</c:v>
                </c:pt>
                <c:pt idx="1">
                  <c:v>6209160.9625109108</c:v>
                </c:pt>
                <c:pt idx="2">
                  <c:v>14546530.023840871</c:v>
                </c:pt>
                <c:pt idx="3">
                  <c:v>47279043.370923042</c:v>
                </c:pt>
                <c:pt idx="4">
                  <c:v>85599122.390646577</c:v>
                </c:pt>
                <c:pt idx="5">
                  <c:v>94273540.663909838</c:v>
                </c:pt>
                <c:pt idx="6">
                  <c:v>99293249.859616861</c:v>
                </c:pt>
                <c:pt idx="7">
                  <c:v>86836362.26326111</c:v>
                </c:pt>
                <c:pt idx="8">
                  <c:v>22489557.206923213</c:v>
                </c:pt>
                <c:pt idx="9">
                  <c:v>20369151.655310426</c:v>
                </c:pt>
              </c:numCache>
            </c:numRef>
          </c:val>
        </c:ser>
        <c:ser>
          <c:idx val="1"/>
          <c:order val="1"/>
          <c:tx>
            <c:strRef>
              <c:f>Recovery!$B$51</c:f>
              <c:strCache>
                <c:ptCount val="1"/>
                <c:pt idx="0">
                  <c:v>NPV (Revenue)</c:v>
                </c:pt>
              </c:strCache>
            </c:strRef>
          </c:tx>
          <c:spPr>
            <a:solidFill>
              <a:srgbClr val="BFDEE4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Recovery!$C$57:$L$57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27282105.398132775</c:v>
                </c:pt>
                <c:pt idx="4">
                  <c:v>25233954.010905955</c:v>
                </c:pt>
                <c:pt idx="5">
                  <c:v>22992969.968011245</c:v>
                </c:pt>
                <c:pt idx="6">
                  <c:v>20802807.645145752</c:v>
                </c:pt>
                <c:pt idx="7">
                  <c:v>49759213.208496496</c:v>
                </c:pt>
                <c:pt idx="8">
                  <c:v>56277618.975586429</c:v>
                </c:pt>
                <c:pt idx="9">
                  <c:v>63614253.262144238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496704"/>
        <c:axId val="357497096"/>
      </c:areaChart>
      <c:catAx>
        <c:axId val="35749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57497096"/>
        <c:crosses val="autoZero"/>
        <c:auto val="1"/>
        <c:lblAlgn val="ctr"/>
        <c:lblOffset val="100"/>
        <c:noMultiLvlLbl val="0"/>
      </c:catAx>
      <c:valAx>
        <c:axId val="357497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AU"/>
                  <a:t>$</a:t>
                </a:r>
              </a:p>
            </c:rich>
          </c:tx>
          <c:layout>
            <c:manualLayout>
              <c:xMode val="edge"/>
              <c:yMode val="edge"/>
              <c:x val="2.5818424868270688E-2"/>
              <c:y val="0.32011560486757384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5749670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1641958681564847"/>
          <c:y val="0.83636363636363664"/>
          <c:w val="0.47784054061929432"/>
          <c:h val="6.74799570508233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UE NPV</a:t>
            </a:r>
            <a:r>
              <a:rPr lang="en-AU" baseline="0"/>
              <a:t> Expenditure and Revenue Recovery - Cumulative</a:t>
            </a:r>
            <a:endParaRPr lang="en-AU"/>
          </a:p>
        </c:rich>
      </c:tx>
      <c:layout>
        <c:manualLayout>
          <c:xMode val="edge"/>
          <c:yMode val="edge"/>
          <c:x val="2.29497109940184E-2"/>
          <c:y val="3.6363636363636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054898148233912"/>
          <c:y val="0.1527158196134574"/>
          <c:w val="0.64723177017039069"/>
          <c:h val="0.55903435934144596"/>
        </c:manualLayout>
      </c:layout>
      <c:areaChart>
        <c:grouping val="standard"/>
        <c:varyColors val="0"/>
        <c:ser>
          <c:idx val="0"/>
          <c:order val="0"/>
          <c:tx>
            <c:strRef>
              <c:f>Recovery!$B$42</c:f>
              <c:strCache>
                <c:ptCount val="1"/>
                <c:pt idx="0">
                  <c:v>NPV (Expenditure) - Cumulative</c:v>
                </c:pt>
              </c:strCache>
            </c:strRef>
          </c:tx>
          <c:spPr>
            <a:solidFill>
              <a:srgbClr val="409DAD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Recovery!$C$45:$L$45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6111775.0927797705</c:v>
                </c:pt>
                <c:pt idx="2">
                  <c:v>29149872.619585969</c:v>
                </c:pt>
                <c:pt idx="3">
                  <c:v>92194598.006998628</c:v>
                </c:pt>
                <c:pt idx="4">
                  <c:v>142124335.43190065</c:v>
                </c:pt>
                <c:pt idx="5">
                  <c:v>200882699.45361346</c:v>
                </c:pt>
                <c:pt idx="6">
                  <c:v>251313361.04385737</c:v>
                </c:pt>
                <c:pt idx="7">
                  <c:v>303781863.67575377</c:v>
                </c:pt>
                <c:pt idx="8">
                  <c:v>333132197.01864529</c:v>
                </c:pt>
                <c:pt idx="9">
                  <c:v>345016721.49532175</c:v>
                </c:pt>
              </c:numCache>
            </c:numRef>
          </c:val>
        </c:ser>
        <c:ser>
          <c:idx val="1"/>
          <c:order val="1"/>
          <c:tx>
            <c:strRef>
              <c:f>Recovery!$B$60</c:f>
              <c:strCache>
                <c:ptCount val="1"/>
                <c:pt idx="0">
                  <c:v>NPV (Revenue) - Cumulative</c:v>
                </c:pt>
              </c:strCache>
            </c:strRef>
          </c:tx>
          <c:spPr>
            <a:solidFill>
              <a:srgbClr val="BFDEE4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Recovery!$C$63:$L$63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13483196.181545198</c:v>
                </c:pt>
                <c:pt idx="4">
                  <c:v>44084628.910554789</c:v>
                </c:pt>
                <c:pt idx="5">
                  <c:v>81240533.819034666</c:v>
                </c:pt>
                <c:pt idx="6">
                  <c:v>120100205.97076514</c:v>
                </c:pt>
                <c:pt idx="7">
                  <c:v>162823566.25776735</c:v>
                </c:pt>
                <c:pt idx="8">
                  <c:v>207737516.4154346</c:v>
                </c:pt>
                <c:pt idx="9">
                  <c:v>259109596.20121923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602776"/>
        <c:axId val="424602384"/>
      </c:areaChart>
      <c:catAx>
        <c:axId val="424602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424602384"/>
        <c:crosses val="autoZero"/>
        <c:auto val="1"/>
        <c:lblAlgn val="ctr"/>
        <c:lblOffset val="100"/>
        <c:noMultiLvlLbl val="0"/>
      </c:catAx>
      <c:valAx>
        <c:axId val="4246023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AU"/>
                  <a:t>$</a:t>
                </a:r>
              </a:p>
            </c:rich>
          </c:tx>
          <c:layout>
            <c:manualLayout>
              <c:xMode val="edge"/>
              <c:yMode val="edge"/>
              <c:x val="2.5818424868270688E-2"/>
              <c:y val="0.32011560486757346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42460277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708447639534129"/>
          <c:y val="0.83181818181818179"/>
          <c:w val="0.77905549741578572"/>
          <c:h val="9.92981388690050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SP</a:t>
            </a:r>
            <a:r>
              <a:rPr lang="en-AU" baseline="0"/>
              <a:t> Ausnet</a:t>
            </a:r>
            <a:r>
              <a:rPr lang="en-AU"/>
              <a:t> NPV</a:t>
            </a:r>
            <a:r>
              <a:rPr lang="en-AU" baseline="0"/>
              <a:t> Expenditure and Revenue Recovery - Cumulative</a:t>
            </a:r>
            <a:endParaRPr lang="en-AU"/>
          </a:p>
        </c:rich>
      </c:tx>
      <c:layout>
        <c:manualLayout>
          <c:xMode val="edge"/>
          <c:yMode val="edge"/>
          <c:x val="3.442456649102759E-2"/>
          <c:y val="2.27272727272727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054898148233962"/>
          <c:y val="0.1527158196134574"/>
          <c:w val="0.64723177017039168"/>
          <c:h val="0.55903435934144596"/>
        </c:manualLayout>
      </c:layout>
      <c:areaChart>
        <c:grouping val="standard"/>
        <c:varyColors val="0"/>
        <c:ser>
          <c:idx val="0"/>
          <c:order val="0"/>
          <c:tx>
            <c:strRef>
              <c:f>Recovery!$B$42</c:f>
              <c:strCache>
                <c:ptCount val="1"/>
                <c:pt idx="0">
                  <c:v>NPV (Expenditure) - Cumulative</c:v>
                </c:pt>
              </c:strCache>
            </c:strRef>
          </c:tx>
          <c:spPr>
            <a:solidFill>
              <a:srgbClr val="409DAD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Recovery!$C$48:$L$48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6209160.9625109108</c:v>
                </c:pt>
                <c:pt idx="2">
                  <c:v>20755690.986351781</c:v>
                </c:pt>
                <c:pt idx="3">
                  <c:v>68034734.35727483</c:v>
                </c:pt>
                <c:pt idx="4">
                  <c:v>153633856.74792141</c:v>
                </c:pt>
                <c:pt idx="5">
                  <c:v>247907397.41183126</c:v>
                </c:pt>
                <c:pt idx="6">
                  <c:v>347200647.27144814</c:v>
                </c:pt>
                <c:pt idx="7">
                  <c:v>434037009.53470922</c:v>
                </c:pt>
                <c:pt idx="8">
                  <c:v>456526566.7416324</c:v>
                </c:pt>
                <c:pt idx="9">
                  <c:v>476895718.39694285</c:v>
                </c:pt>
              </c:numCache>
            </c:numRef>
          </c:val>
        </c:ser>
        <c:ser>
          <c:idx val="1"/>
          <c:order val="1"/>
          <c:tx>
            <c:strRef>
              <c:f>Recovery!$B$60</c:f>
              <c:strCache>
                <c:ptCount val="1"/>
                <c:pt idx="0">
                  <c:v>NPV (Revenue) - Cumulative</c:v>
                </c:pt>
              </c:strCache>
            </c:strRef>
          </c:tx>
          <c:spPr>
            <a:solidFill>
              <a:srgbClr val="BFDEE4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Recovery!$C$66:$L$66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27282105.398132775</c:v>
                </c:pt>
                <c:pt idx="4">
                  <c:v>52516059.40903873</c:v>
                </c:pt>
                <c:pt idx="5">
                  <c:v>75509029.377049983</c:v>
                </c:pt>
                <c:pt idx="6">
                  <c:v>96311837.022195727</c:v>
                </c:pt>
                <c:pt idx="7">
                  <c:v>146071050.23069221</c:v>
                </c:pt>
                <c:pt idx="8">
                  <c:v>202348669.20627862</c:v>
                </c:pt>
                <c:pt idx="9">
                  <c:v>265962922.46842286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497880"/>
        <c:axId val="357498272"/>
      </c:areaChart>
      <c:catAx>
        <c:axId val="357497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57498272"/>
        <c:crosses val="autoZero"/>
        <c:auto val="1"/>
        <c:lblAlgn val="ctr"/>
        <c:lblOffset val="100"/>
        <c:noMultiLvlLbl val="0"/>
      </c:catAx>
      <c:valAx>
        <c:axId val="3574982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AU"/>
                  <a:t>$</a:t>
                </a:r>
              </a:p>
            </c:rich>
          </c:tx>
          <c:layout>
            <c:manualLayout>
              <c:xMode val="edge"/>
              <c:yMode val="edge"/>
              <c:x val="2.5818424868270688E-2"/>
              <c:y val="0.32011560486757396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5749788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708447639534129"/>
          <c:y val="0.83181818181818179"/>
          <c:w val="0.77905549741578795"/>
          <c:h val="9.92981388690050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Jemena NPV</a:t>
            </a:r>
            <a:r>
              <a:rPr lang="en-AU" baseline="0"/>
              <a:t> Expenditure and Revenue Recovery</a:t>
            </a:r>
            <a:endParaRPr lang="en-AU"/>
          </a:p>
        </c:rich>
      </c:tx>
      <c:layout>
        <c:manualLayout>
          <c:xMode val="edge"/>
          <c:yMode val="edge"/>
          <c:x val="2.29497109940184E-2"/>
          <c:y val="3.6363636363636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054898148233962"/>
          <c:y val="0.1527158196134574"/>
          <c:w val="0.64723177017039168"/>
          <c:h val="0.55903435934144596"/>
        </c:manualLayout>
      </c:layout>
      <c:areaChart>
        <c:grouping val="standard"/>
        <c:varyColors val="0"/>
        <c:ser>
          <c:idx val="0"/>
          <c:order val="0"/>
          <c:tx>
            <c:strRef>
              <c:f>Recovery!$B$33</c:f>
              <c:strCache>
                <c:ptCount val="1"/>
                <c:pt idx="0">
                  <c:v>NPV (Expenditure)</c:v>
                </c:pt>
              </c:strCache>
            </c:strRef>
          </c:tx>
          <c:spPr>
            <a:solidFill>
              <a:srgbClr val="409DAD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Recovery!$C$40:$L$40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914799.74570367753</c:v>
                </c:pt>
                <c:pt idx="2">
                  <c:v>12758654.689697439</c:v>
                </c:pt>
                <c:pt idx="3">
                  <c:v>52419588.49103713</c:v>
                </c:pt>
                <c:pt idx="4">
                  <c:v>33142186.117739458</c:v>
                </c:pt>
                <c:pt idx="5">
                  <c:v>27810950.063284859</c:v>
                </c:pt>
                <c:pt idx="6">
                  <c:v>27181388.271091133</c:v>
                </c:pt>
                <c:pt idx="7">
                  <c:v>30490567.869257268</c:v>
                </c:pt>
                <c:pt idx="8">
                  <c:v>12952193.908406083</c:v>
                </c:pt>
                <c:pt idx="9">
                  <c:v>9176491.8995797299</c:v>
                </c:pt>
              </c:numCache>
            </c:numRef>
          </c:val>
        </c:ser>
        <c:ser>
          <c:idx val="1"/>
          <c:order val="1"/>
          <c:tx>
            <c:strRef>
              <c:f>Recovery!$B$51</c:f>
              <c:strCache>
                <c:ptCount val="1"/>
                <c:pt idx="0">
                  <c:v>NPV (Revenue)</c:v>
                </c:pt>
              </c:strCache>
            </c:strRef>
          </c:tx>
          <c:spPr>
            <a:solidFill>
              <a:srgbClr val="BFDEE4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Recovery!$C$58:$L$58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7837155.1261108546</c:v>
                </c:pt>
                <c:pt idx="4">
                  <c:v>7248795.8367814356</c:v>
                </c:pt>
                <c:pt idx="5">
                  <c:v>6605042.7494369755</c:v>
                </c:pt>
                <c:pt idx="6">
                  <c:v>5975888.8910681522</c:v>
                </c:pt>
                <c:pt idx="7">
                  <c:v>28347061.346519522</c:v>
                </c:pt>
                <c:pt idx="8">
                  <c:v>29864227.333066151</c:v>
                </c:pt>
                <c:pt idx="9">
                  <c:v>30902026.48944097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499056"/>
        <c:axId val="357499448"/>
      </c:areaChart>
      <c:catAx>
        <c:axId val="35749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57499448"/>
        <c:crosses val="autoZero"/>
        <c:auto val="1"/>
        <c:lblAlgn val="ctr"/>
        <c:lblOffset val="100"/>
        <c:noMultiLvlLbl val="0"/>
      </c:catAx>
      <c:valAx>
        <c:axId val="3574994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AU"/>
                  <a:t>$</a:t>
                </a:r>
              </a:p>
            </c:rich>
          </c:tx>
          <c:layout>
            <c:manualLayout>
              <c:xMode val="edge"/>
              <c:yMode val="edge"/>
              <c:x val="2.5818424868270688E-2"/>
              <c:y val="0.32011560486757396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574990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1641958681564869"/>
          <c:y val="0.83636363636363664"/>
          <c:w val="0.47784054061929432"/>
          <c:h val="6.74799570508233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Jemena NPV</a:t>
            </a:r>
            <a:r>
              <a:rPr lang="en-AU" baseline="0"/>
              <a:t> Expenditure and Revenue Recovery - Cumulative</a:t>
            </a:r>
            <a:endParaRPr lang="en-AU"/>
          </a:p>
        </c:rich>
      </c:tx>
      <c:layout>
        <c:manualLayout>
          <c:xMode val="edge"/>
          <c:yMode val="edge"/>
          <c:x val="3.442456649102759E-2"/>
          <c:y val="2.27272727272727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054898148233976"/>
          <c:y val="0.1527158196134574"/>
          <c:w val="0.64723177017039191"/>
          <c:h val="0.55903435934144596"/>
        </c:manualLayout>
      </c:layout>
      <c:areaChart>
        <c:grouping val="standard"/>
        <c:varyColors val="0"/>
        <c:ser>
          <c:idx val="0"/>
          <c:order val="0"/>
          <c:tx>
            <c:strRef>
              <c:f>Recovery!$B$42</c:f>
              <c:strCache>
                <c:ptCount val="1"/>
                <c:pt idx="0">
                  <c:v>NPV (Expenditure) - Cumulative</c:v>
                </c:pt>
              </c:strCache>
            </c:strRef>
          </c:tx>
          <c:spPr>
            <a:solidFill>
              <a:srgbClr val="409DAD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Recovery!$C$49:$L$49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914799.74570367753</c:v>
                </c:pt>
                <c:pt idx="2">
                  <c:v>13673454.435401116</c:v>
                </c:pt>
                <c:pt idx="3">
                  <c:v>66093042.926438242</c:v>
                </c:pt>
                <c:pt idx="4">
                  <c:v>99235229.044177696</c:v>
                </c:pt>
                <c:pt idx="5">
                  <c:v>127046179.10746256</c:v>
                </c:pt>
                <c:pt idx="6">
                  <c:v>154227567.37855369</c:v>
                </c:pt>
                <c:pt idx="7">
                  <c:v>184718135.24781096</c:v>
                </c:pt>
                <c:pt idx="8">
                  <c:v>197670329.15621704</c:v>
                </c:pt>
                <c:pt idx="9">
                  <c:v>206846821.05579677</c:v>
                </c:pt>
              </c:numCache>
            </c:numRef>
          </c:val>
        </c:ser>
        <c:ser>
          <c:idx val="1"/>
          <c:order val="1"/>
          <c:tx>
            <c:strRef>
              <c:f>Recovery!$B$60</c:f>
              <c:strCache>
                <c:ptCount val="1"/>
                <c:pt idx="0">
                  <c:v>NPV (Revenue) - Cumulative</c:v>
                </c:pt>
              </c:strCache>
            </c:strRef>
          </c:tx>
          <c:spPr>
            <a:solidFill>
              <a:srgbClr val="BFDEE4"/>
            </a:solidFill>
            <a:ln w="3175">
              <a:solidFill>
                <a:srgbClr val="FFFFFF"/>
              </a:solidFill>
              <a:prstDash val="solid"/>
            </a:ln>
          </c:spPr>
          <c:cat>
            <c:numRef>
              <c:f>Recovery!$C$35:$L$35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Recovery!$C$67:$L$67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7837155.1261108546</c:v>
                </c:pt>
                <c:pt idx="4">
                  <c:v>15085950.96289229</c:v>
                </c:pt>
                <c:pt idx="5">
                  <c:v>21690993.712329265</c:v>
                </c:pt>
                <c:pt idx="6">
                  <c:v>27666882.603397418</c:v>
                </c:pt>
                <c:pt idx="7">
                  <c:v>56013943.949916944</c:v>
                </c:pt>
                <c:pt idx="8">
                  <c:v>85878171.282983094</c:v>
                </c:pt>
                <c:pt idx="9">
                  <c:v>116780197.77242407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500232"/>
        <c:axId val="357500624"/>
      </c:areaChart>
      <c:catAx>
        <c:axId val="35750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57500624"/>
        <c:crosses val="autoZero"/>
        <c:auto val="1"/>
        <c:lblAlgn val="ctr"/>
        <c:lblOffset val="100"/>
        <c:noMultiLvlLbl val="0"/>
      </c:catAx>
      <c:valAx>
        <c:axId val="3575006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AU"/>
                  <a:t>$</a:t>
                </a:r>
              </a:p>
            </c:rich>
          </c:tx>
          <c:layout>
            <c:manualLayout>
              <c:xMode val="edge"/>
              <c:yMode val="edge"/>
              <c:x val="2.5818424868270688E-2"/>
              <c:y val="0.32011560486757407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5750023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708447639534129"/>
          <c:y val="0.83181818181818179"/>
          <c:w val="0.7790554974157885"/>
          <c:h val="9.92981388690050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Capital expenditure 2006-2011</a:t>
            </a:r>
          </a:p>
        </c:rich>
      </c:tx>
      <c:layout>
        <c:manualLayout>
          <c:xMode val="edge"/>
          <c:yMode val="edge"/>
          <c:x val="2.29497109940184E-2"/>
          <c:y val="3.6363636363636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9543210398026"/>
          <c:y val="0.1527158196134574"/>
          <c:w val="0.7740341187209332"/>
          <c:h val="0.634935934144595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09DAD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FFFFFF"/>
                </a:solidFill>
                <a:prstDash val="solid"/>
              </a:ln>
            </c:spPr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Benchmarking!$B$9:$B$13</c:f>
              <c:strCache>
                <c:ptCount val="5"/>
                <c:pt idx="0">
                  <c:v>United Energy </c:v>
                </c:pt>
                <c:pt idx="1">
                  <c:v>Powercor</c:v>
                </c:pt>
                <c:pt idx="2">
                  <c:v>Citipower</c:v>
                </c:pt>
                <c:pt idx="3">
                  <c:v>SP Ausnet</c:v>
                </c:pt>
                <c:pt idx="4">
                  <c:v>Jemena</c:v>
                </c:pt>
              </c:strCache>
            </c:strRef>
          </c:cat>
          <c:val>
            <c:numRef>
              <c:f>Benchmarking!$G$9:$G$13</c:f>
              <c:numCache>
                <c:formatCode>_(* #,##0_);_(* \(#,##0\);_(* "-"??_);_(@_)</c:formatCode>
                <c:ptCount val="5"/>
                <c:pt idx="0">
                  <c:v>347.51340317397398</c:v>
                </c:pt>
                <c:pt idx="1">
                  <c:v>415.7171702910224</c:v>
                </c:pt>
                <c:pt idx="2">
                  <c:v>383.04682443561705</c:v>
                </c:pt>
                <c:pt idx="3">
                  <c:v>367.09830747171952</c:v>
                </c:pt>
                <c:pt idx="4">
                  <c:v>491.18701285096239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65709904"/>
        <c:axId val="424601992"/>
      </c:barChart>
      <c:catAx>
        <c:axId val="365709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424601992"/>
        <c:crosses val="autoZero"/>
        <c:auto val="1"/>
        <c:lblAlgn val="ctr"/>
        <c:lblOffset val="100"/>
        <c:noMultiLvlLbl val="0"/>
      </c:catAx>
      <c:valAx>
        <c:axId val="4246019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AU"/>
                  <a:t>Per meter ($)</a:t>
                </a:r>
              </a:p>
            </c:rich>
          </c:tx>
          <c:layout>
            <c:manualLayout>
              <c:xMode val="edge"/>
              <c:yMode val="edge"/>
              <c:x val="2.5818424868270688E-2"/>
              <c:y val="0.29921796707229792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657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900" b="1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Capital expenditure 2012-2015</a:t>
            </a:r>
          </a:p>
          <a:p>
            <a:pPr algn="ctr">
              <a:defRPr sz="900" b="1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(per meter)</a:t>
            </a:r>
          </a:p>
        </c:rich>
      </c:tx>
      <c:layout>
        <c:manualLayout>
          <c:xMode val="edge"/>
          <c:yMode val="edge"/>
          <c:x val="0.30695238454499602"/>
          <c:y val="1.3636363636363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95432103980266"/>
          <c:y val="0.1527158196134574"/>
          <c:w val="0.7740341187209332"/>
          <c:h val="0.634935934144596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09DAD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FFFFFF"/>
                </a:solidFill>
                <a:prstDash val="solid"/>
              </a:ln>
            </c:spPr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Benchmarking!$B$20:$B$24</c:f>
              <c:strCache>
                <c:ptCount val="5"/>
                <c:pt idx="0">
                  <c:v>United Energy </c:v>
                </c:pt>
                <c:pt idx="1">
                  <c:v>Powercor</c:v>
                </c:pt>
                <c:pt idx="2">
                  <c:v>Citipower</c:v>
                </c:pt>
                <c:pt idx="3">
                  <c:v>SP Ausnet</c:v>
                </c:pt>
                <c:pt idx="4">
                  <c:v>Jemena</c:v>
                </c:pt>
              </c:strCache>
            </c:strRef>
          </c:cat>
          <c:val>
            <c:numRef>
              <c:f>Benchmarking!$G$20:$G$24</c:f>
              <c:numCache>
                <c:formatCode>_(* #,##0_);_(* \(#,##0\);_(* "-"??_);_(@_)</c:formatCode>
                <c:ptCount val="5"/>
                <c:pt idx="0">
                  <c:v>247.11063411634029</c:v>
                </c:pt>
                <c:pt idx="1">
                  <c:v>319.50660100487943</c:v>
                </c:pt>
                <c:pt idx="2">
                  <c:v>274.35761813963109</c:v>
                </c:pt>
                <c:pt idx="3">
                  <c:v>552.88350827374245</c:v>
                </c:pt>
                <c:pt idx="4">
                  <c:v>286.78965213323448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3801536"/>
        <c:axId val="352767288"/>
      </c:barChart>
      <c:catAx>
        <c:axId val="403801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52767288"/>
        <c:crosses val="autoZero"/>
        <c:auto val="1"/>
        <c:lblAlgn val="ctr"/>
        <c:lblOffset val="100"/>
        <c:noMultiLvlLbl val="0"/>
      </c:catAx>
      <c:valAx>
        <c:axId val="352767288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403801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Capital expenditure 2006-2015</a:t>
            </a:r>
          </a:p>
        </c:rich>
      </c:tx>
      <c:layout>
        <c:manualLayout>
          <c:xMode val="edge"/>
          <c:yMode val="edge"/>
          <c:x val="2.29497109940184E-2"/>
          <c:y val="3.6363636363636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95432103980271"/>
          <c:y val="0.1527158196134574"/>
          <c:w val="0.7740341187209332"/>
          <c:h val="0.634935934144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09DAD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FFFFFF"/>
                </a:solidFill>
                <a:prstDash val="solid"/>
              </a:ln>
            </c:spPr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Benchmarking!$B$31:$B$35</c:f>
              <c:strCache>
                <c:ptCount val="5"/>
                <c:pt idx="0">
                  <c:v>United Energy </c:v>
                </c:pt>
                <c:pt idx="1">
                  <c:v>Powercor</c:v>
                </c:pt>
                <c:pt idx="2">
                  <c:v>Citipower</c:v>
                </c:pt>
                <c:pt idx="3">
                  <c:v>SP Ausnet</c:v>
                </c:pt>
                <c:pt idx="4">
                  <c:v>Jemena</c:v>
                </c:pt>
              </c:strCache>
            </c:strRef>
          </c:cat>
          <c:val>
            <c:numRef>
              <c:f>Benchmarking!$G$31:$G$35</c:f>
              <c:numCache>
                <c:formatCode>_(* #,##0_);_(* \(#,##0\);_(* "-"??_);_(@_)</c:formatCode>
                <c:ptCount val="5"/>
                <c:pt idx="0">
                  <c:v>595.07451890360358</c:v>
                </c:pt>
                <c:pt idx="1">
                  <c:v>737.85801069915658</c:v>
                </c:pt>
                <c:pt idx="2">
                  <c:v>658.19923916491803</c:v>
                </c:pt>
                <c:pt idx="3">
                  <c:v>910.10834359866203</c:v>
                </c:pt>
                <c:pt idx="4">
                  <c:v>776.34813325728192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52768072"/>
        <c:axId val="352768464"/>
      </c:barChart>
      <c:catAx>
        <c:axId val="352768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52768464"/>
        <c:crosses val="autoZero"/>
        <c:auto val="1"/>
        <c:lblAlgn val="ctr"/>
        <c:lblOffset val="100"/>
        <c:noMultiLvlLbl val="0"/>
      </c:catAx>
      <c:valAx>
        <c:axId val="3527684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AU"/>
                  <a:t>Per meter ($)</a:t>
                </a:r>
              </a:p>
            </c:rich>
          </c:tx>
          <c:layout>
            <c:manualLayout>
              <c:xMode val="edge"/>
              <c:yMode val="edge"/>
              <c:x val="2.5818424868270688E-2"/>
              <c:y val="0.29921796707229825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52768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Capital expenditure 2009-2015</a:t>
            </a:r>
          </a:p>
        </c:rich>
      </c:tx>
      <c:layout>
        <c:manualLayout>
          <c:xMode val="edge"/>
          <c:yMode val="edge"/>
          <c:x val="2.29497109940184E-2"/>
          <c:y val="3.6363636363636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95432103980271"/>
          <c:y val="0.1527158196134574"/>
          <c:w val="0.7740341187209332"/>
          <c:h val="0.634935934144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09DAD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FFFFFF"/>
                </a:solidFill>
                <a:prstDash val="solid"/>
              </a:ln>
            </c:spPr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Benchmarking!$B$31:$B$35</c:f>
              <c:strCache>
                <c:ptCount val="5"/>
                <c:pt idx="0">
                  <c:v>United Energy </c:v>
                </c:pt>
                <c:pt idx="1">
                  <c:v>Powercor</c:v>
                </c:pt>
                <c:pt idx="2">
                  <c:v>Citipower</c:v>
                </c:pt>
                <c:pt idx="3">
                  <c:v>SP Ausnet</c:v>
                </c:pt>
                <c:pt idx="4">
                  <c:v>Jemena</c:v>
                </c:pt>
              </c:strCache>
            </c:strRef>
          </c:cat>
          <c:val>
            <c:numRef>
              <c:f>Benchmarking!$G$77:$G$81</c:f>
              <c:numCache>
                <c:formatCode>_(* #,##0_);_(* \(#,##0\);_(* "-"??_);_(@_)</c:formatCode>
                <c:ptCount val="5"/>
                <c:pt idx="0">
                  <c:v>560.53831369276463</c:v>
                </c:pt>
                <c:pt idx="1">
                  <c:v>689.67724776347336</c:v>
                </c:pt>
                <c:pt idx="2">
                  <c:v>614.91360002211889</c:v>
                </c:pt>
                <c:pt idx="3">
                  <c:v>903.9037706447366</c:v>
                </c:pt>
                <c:pt idx="4">
                  <c:v>717.04315681246931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52769248"/>
        <c:axId val="352769640"/>
      </c:barChart>
      <c:catAx>
        <c:axId val="352769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52769640"/>
        <c:crosses val="autoZero"/>
        <c:auto val="1"/>
        <c:lblAlgn val="ctr"/>
        <c:lblOffset val="100"/>
        <c:noMultiLvlLbl val="0"/>
      </c:catAx>
      <c:valAx>
        <c:axId val="352769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AU"/>
                  <a:t>Per meter ($)</a:t>
                </a:r>
              </a:p>
            </c:rich>
          </c:tx>
          <c:layout>
            <c:manualLayout>
              <c:xMode val="edge"/>
              <c:yMode val="edge"/>
              <c:x val="2.5818424868270688E-2"/>
              <c:y val="0.29921796707229825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52769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Operating expenditure 2006-2011</a:t>
            </a:r>
          </a:p>
        </c:rich>
      </c:tx>
      <c:layout>
        <c:manualLayout>
          <c:xMode val="edge"/>
          <c:yMode val="edge"/>
          <c:x val="2.29497109940184E-2"/>
          <c:y val="3.6363636363636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95432103980266"/>
          <c:y val="0.1527158196134574"/>
          <c:w val="0.7740341187209332"/>
          <c:h val="0.634935934144596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09DAD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FFFFFF"/>
                </a:solidFill>
                <a:prstDash val="solid"/>
              </a:ln>
            </c:spPr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Benchmarking!$B$9:$B$13</c:f>
              <c:strCache>
                <c:ptCount val="5"/>
                <c:pt idx="0">
                  <c:v>United Energy </c:v>
                </c:pt>
                <c:pt idx="1">
                  <c:v>Powercor</c:v>
                </c:pt>
                <c:pt idx="2">
                  <c:v>Citipower</c:v>
                </c:pt>
                <c:pt idx="3">
                  <c:v>SP Ausnet</c:v>
                </c:pt>
                <c:pt idx="4">
                  <c:v>Jemena</c:v>
                </c:pt>
              </c:strCache>
            </c:strRef>
          </c:cat>
          <c:val>
            <c:numRef>
              <c:f>Benchmarking!$I$9:$I$13</c:f>
              <c:numCache>
                <c:formatCode>_(* #,##0_);_(* \(#,##0\);_(* "-"??_);_(@_)</c:formatCode>
                <c:ptCount val="5"/>
                <c:pt idx="0">
                  <c:v>94.247312947759113</c:v>
                </c:pt>
                <c:pt idx="1">
                  <c:v>131.58017098058639</c:v>
                </c:pt>
                <c:pt idx="2">
                  <c:v>150.94635304072276</c:v>
                </c:pt>
                <c:pt idx="3">
                  <c:v>170.18304901177285</c:v>
                </c:pt>
                <c:pt idx="4">
                  <c:v>118.75626817572557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52770424"/>
        <c:axId val="352770816"/>
      </c:barChart>
      <c:catAx>
        <c:axId val="352770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52770816"/>
        <c:crosses val="autoZero"/>
        <c:auto val="1"/>
        <c:lblAlgn val="ctr"/>
        <c:lblOffset val="100"/>
        <c:noMultiLvlLbl val="0"/>
      </c:catAx>
      <c:valAx>
        <c:axId val="3527708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AU"/>
                  <a:t>Per meter ($)</a:t>
                </a:r>
              </a:p>
            </c:rich>
          </c:tx>
          <c:layout>
            <c:manualLayout>
              <c:xMode val="edge"/>
              <c:yMode val="edge"/>
              <c:x val="2.5818424868270688E-2"/>
              <c:y val="0.29921796707229803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52770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900" b="1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Operating expenditure 2012-2015</a:t>
            </a:r>
          </a:p>
          <a:p>
            <a:pPr algn="ctr">
              <a:defRPr sz="900" b="1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(per meter)</a:t>
            </a:r>
          </a:p>
        </c:rich>
      </c:tx>
      <c:layout>
        <c:manualLayout>
          <c:xMode val="edge"/>
          <c:yMode val="edge"/>
          <c:x val="0.30121495679649141"/>
          <c:y val="3.18181818181818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95432103980271"/>
          <c:y val="0.1527158196134574"/>
          <c:w val="0.7740341187209332"/>
          <c:h val="0.634935934144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09DAD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FFFFFF"/>
                </a:solidFill>
                <a:prstDash val="solid"/>
              </a:ln>
            </c:spPr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Benchmarking!$B$20:$B$24</c:f>
              <c:strCache>
                <c:ptCount val="5"/>
                <c:pt idx="0">
                  <c:v>United Energy </c:v>
                </c:pt>
                <c:pt idx="1">
                  <c:v>Powercor</c:v>
                </c:pt>
                <c:pt idx="2">
                  <c:v>Citipower</c:v>
                </c:pt>
                <c:pt idx="3">
                  <c:v>SP Ausnet</c:v>
                </c:pt>
                <c:pt idx="4">
                  <c:v>Jemena</c:v>
                </c:pt>
              </c:strCache>
            </c:strRef>
          </c:cat>
          <c:val>
            <c:numRef>
              <c:f>Benchmarking!$I$20:$I$24</c:f>
              <c:numCache>
                <c:formatCode>_(* #,##0_);_(* \(#,##0\);_(* "-"??_);_(@_)</c:formatCode>
                <c:ptCount val="5"/>
                <c:pt idx="0">
                  <c:v>148.95052035594478</c:v>
                </c:pt>
                <c:pt idx="1">
                  <c:v>103.63230555154489</c:v>
                </c:pt>
                <c:pt idx="2">
                  <c:v>120.96684116215609</c:v>
                </c:pt>
                <c:pt idx="3">
                  <c:v>250.71741923291034</c:v>
                </c:pt>
                <c:pt idx="4">
                  <c:v>257.65147605193994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52771600"/>
        <c:axId val="352771992"/>
      </c:barChart>
      <c:catAx>
        <c:axId val="352771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52771992"/>
        <c:crosses val="autoZero"/>
        <c:auto val="1"/>
        <c:lblAlgn val="ctr"/>
        <c:lblOffset val="100"/>
        <c:noMultiLvlLbl val="0"/>
      </c:catAx>
      <c:valAx>
        <c:axId val="352771992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52771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Operating expenditure 2006-2015</a:t>
            </a:r>
          </a:p>
        </c:rich>
      </c:tx>
      <c:layout>
        <c:manualLayout>
          <c:xMode val="edge"/>
          <c:yMode val="edge"/>
          <c:x val="2.29497109940184E-2"/>
          <c:y val="3.6363636363636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95432103980271"/>
          <c:y val="0.1527158196134574"/>
          <c:w val="0.7740341187209332"/>
          <c:h val="0.634935934144597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09DAD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FFFFFF"/>
                </a:solidFill>
                <a:prstDash val="solid"/>
              </a:ln>
            </c:spPr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Benchmarking!$B$31:$B$35</c:f>
              <c:strCache>
                <c:ptCount val="5"/>
                <c:pt idx="0">
                  <c:v>United Energy </c:v>
                </c:pt>
                <c:pt idx="1">
                  <c:v>Powercor</c:v>
                </c:pt>
                <c:pt idx="2">
                  <c:v>Citipower</c:v>
                </c:pt>
                <c:pt idx="3">
                  <c:v>SP Ausnet</c:v>
                </c:pt>
                <c:pt idx="4">
                  <c:v>Jemena</c:v>
                </c:pt>
              </c:strCache>
            </c:strRef>
          </c:cat>
          <c:val>
            <c:numRef>
              <c:f>Benchmarking!$I$31:$I$35</c:f>
              <c:numCache>
                <c:formatCode>_(* #,##0_);_(* \(#,##0\);_(* "-"??_);_(@_)</c:formatCode>
                <c:ptCount val="5"/>
                <c:pt idx="0">
                  <c:v>245.71127262274146</c:v>
                </c:pt>
                <c:pt idx="1">
                  <c:v>236.20196473657978</c:v>
                </c:pt>
                <c:pt idx="2">
                  <c:v>272.76418545048682</c:v>
                </c:pt>
                <c:pt idx="3">
                  <c:v>416.50245647303285</c:v>
                </c:pt>
                <c:pt idx="4">
                  <c:v>383.55485798047783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52772776"/>
        <c:axId val="352773168"/>
      </c:barChart>
      <c:catAx>
        <c:axId val="352772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52773168"/>
        <c:crosses val="autoZero"/>
        <c:auto val="1"/>
        <c:lblAlgn val="ctr"/>
        <c:lblOffset val="100"/>
        <c:noMultiLvlLbl val="0"/>
      </c:catAx>
      <c:valAx>
        <c:axId val="3527731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AU"/>
                  <a:t>Per meter ($)</a:t>
                </a:r>
              </a:p>
            </c:rich>
          </c:tx>
          <c:layout>
            <c:manualLayout>
              <c:xMode val="edge"/>
              <c:yMode val="edge"/>
              <c:x val="2.5818424868270688E-2"/>
              <c:y val="0.29921796707229842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52772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736388</xdr:colOff>
      <xdr:row>5</xdr:row>
      <xdr:rowOff>93653</xdr:rowOff>
    </xdr:from>
    <xdr:ext cx="1173335" cy="530658"/>
    <xdr:sp macro="" textlink="">
      <xdr:nvSpPr>
        <xdr:cNvPr id="2" name="Rectangle 1"/>
        <xdr:cNvSpPr/>
      </xdr:nvSpPr>
      <xdr:spPr>
        <a:xfrm>
          <a:off x="16447035" y="1124594"/>
          <a:ext cx="1173335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8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DRAFT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77</xdr:row>
      <xdr:rowOff>179293</xdr:rowOff>
    </xdr:from>
    <xdr:to>
      <xdr:col>3</xdr:col>
      <xdr:colOff>964453</xdr:colOff>
      <xdr:row>92</xdr:row>
      <xdr:rowOff>115793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0</xdr:colOff>
      <xdr:row>77</xdr:row>
      <xdr:rowOff>179294</xdr:rowOff>
    </xdr:from>
    <xdr:to>
      <xdr:col>7</xdr:col>
      <xdr:colOff>897218</xdr:colOff>
      <xdr:row>92</xdr:row>
      <xdr:rowOff>115794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9</xdr:col>
      <xdr:colOff>159871</xdr:colOff>
      <xdr:row>18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</xdr:colOff>
      <xdr:row>20</xdr:row>
      <xdr:rowOff>104775</xdr:rowOff>
    </xdr:from>
    <xdr:to>
      <xdr:col>9</xdr:col>
      <xdr:colOff>169396</xdr:colOff>
      <xdr:row>35</xdr:row>
      <xdr:rowOff>41275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200025</xdr:colOff>
      <xdr:row>3</xdr:row>
      <xdr:rowOff>133350</xdr:rowOff>
    </xdr:from>
    <xdr:to>
      <xdr:col>17</xdr:col>
      <xdr:colOff>359896</xdr:colOff>
      <xdr:row>18</xdr:row>
      <xdr:rowOff>69850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152400</xdr:colOff>
      <xdr:row>21</xdr:row>
      <xdr:rowOff>9525</xdr:rowOff>
    </xdr:from>
    <xdr:to>
      <xdr:col>17</xdr:col>
      <xdr:colOff>312271</xdr:colOff>
      <xdr:row>35</xdr:row>
      <xdr:rowOff>136525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8</xdr:col>
      <xdr:colOff>159871</xdr:colOff>
      <xdr:row>18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4</xdr:row>
      <xdr:rowOff>0</xdr:rowOff>
    </xdr:from>
    <xdr:to>
      <xdr:col>16</xdr:col>
      <xdr:colOff>159871</xdr:colOff>
      <xdr:row>18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0</xdr:colOff>
      <xdr:row>4</xdr:row>
      <xdr:rowOff>0</xdr:rowOff>
    </xdr:from>
    <xdr:to>
      <xdr:col>24</xdr:col>
      <xdr:colOff>159871</xdr:colOff>
      <xdr:row>18</xdr:row>
      <xdr:rowOff>127000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20</xdr:row>
      <xdr:rowOff>176212</xdr:rowOff>
    </xdr:from>
    <xdr:to>
      <xdr:col>8</xdr:col>
      <xdr:colOff>304800</xdr:colOff>
      <xdr:row>35</xdr:row>
      <xdr:rowOff>61912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133350</xdr:colOff>
      <xdr:row>20</xdr:row>
      <xdr:rowOff>185737</xdr:rowOff>
    </xdr:from>
    <xdr:to>
      <xdr:col>16</xdr:col>
      <xdr:colOff>438150</xdr:colOff>
      <xdr:row>35</xdr:row>
      <xdr:rowOff>71437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304800</xdr:colOff>
      <xdr:row>20</xdr:row>
      <xdr:rowOff>176212</xdr:rowOff>
    </xdr:from>
    <xdr:to>
      <xdr:col>25</xdr:col>
      <xdr:colOff>0</xdr:colOff>
      <xdr:row>35</xdr:row>
      <xdr:rowOff>61912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8</xdr:col>
      <xdr:colOff>159871</xdr:colOff>
      <xdr:row>18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9525</xdr:colOff>
      <xdr:row>4</xdr:row>
      <xdr:rowOff>19050</xdr:rowOff>
    </xdr:from>
    <xdr:to>
      <xdr:col>16</xdr:col>
      <xdr:colOff>169396</xdr:colOff>
      <xdr:row>18</xdr:row>
      <xdr:rowOff>146050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22</xdr:row>
      <xdr:rowOff>0</xdr:rowOff>
    </xdr:from>
    <xdr:to>
      <xdr:col>8</xdr:col>
      <xdr:colOff>159871</xdr:colOff>
      <xdr:row>36</xdr:row>
      <xdr:rowOff>127000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0</xdr:colOff>
      <xdr:row>22</xdr:row>
      <xdr:rowOff>0</xdr:rowOff>
    </xdr:from>
    <xdr:to>
      <xdr:col>16</xdr:col>
      <xdr:colOff>159871</xdr:colOff>
      <xdr:row>36</xdr:row>
      <xdr:rowOff>127000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40</xdr:row>
      <xdr:rowOff>0</xdr:rowOff>
    </xdr:from>
    <xdr:to>
      <xdr:col>8</xdr:col>
      <xdr:colOff>159871</xdr:colOff>
      <xdr:row>54</xdr:row>
      <xdr:rowOff>127000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9</xdr:col>
      <xdr:colOff>9525</xdr:colOff>
      <xdr:row>40</xdr:row>
      <xdr:rowOff>9525</xdr:rowOff>
    </xdr:from>
    <xdr:to>
      <xdr:col>16</xdr:col>
      <xdr:colOff>169396</xdr:colOff>
      <xdr:row>54</xdr:row>
      <xdr:rowOff>136525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58</xdr:row>
      <xdr:rowOff>0</xdr:rowOff>
    </xdr:from>
    <xdr:to>
      <xdr:col>8</xdr:col>
      <xdr:colOff>159871</xdr:colOff>
      <xdr:row>72</xdr:row>
      <xdr:rowOff>127000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9</xdr:col>
      <xdr:colOff>0</xdr:colOff>
      <xdr:row>58</xdr:row>
      <xdr:rowOff>0</xdr:rowOff>
    </xdr:from>
    <xdr:to>
      <xdr:col>16</xdr:col>
      <xdr:colOff>159871</xdr:colOff>
      <xdr:row>72</xdr:row>
      <xdr:rowOff>127000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0</xdr:colOff>
      <xdr:row>76</xdr:row>
      <xdr:rowOff>0</xdr:rowOff>
    </xdr:from>
    <xdr:to>
      <xdr:col>8</xdr:col>
      <xdr:colOff>159871</xdr:colOff>
      <xdr:row>90</xdr:row>
      <xdr:rowOff>127000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9</xdr:col>
      <xdr:colOff>0</xdr:colOff>
      <xdr:row>76</xdr:row>
      <xdr:rowOff>0</xdr:rowOff>
    </xdr:from>
    <xdr:to>
      <xdr:col>16</xdr:col>
      <xdr:colOff>159871</xdr:colOff>
      <xdr:row>90</xdr:row>
      <xdr:rowOff>127000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adgell\AppData\Local\Microsoft\Windows\Temporary%20Internet%20Files\Content.Outlook\EZKHUETF\Book1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bond1\AppData\Local\Microsoft\Windows\Temporary%20Internet%20Files\Content.Outlook\10MGTRIJ\Jemena%20-%20AMI%20Charges%20Model%20(2014%20Charges%20Application)%2030%20August%2020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bond1\AppData\Local\Microsoft\Windows\Temporary%20Internet%20Files\Content.Outlook\10MGTRIJ\SP%20AusNet%20AMI%20Charges%20Model%20(2014%20Charges%20Application)%20-%20PUBLIC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chille\AppData\Local\Microsoft\Windows\Temporary%20Internet%20Files\Content.Outlook\TRZJLKUD\2011%20Revised%20Charges%20Models\Victorian%20AMI%20-%20UED%20-%202011%20Revised%20Charges%20Application%20-%20Charges%20Model%20-%20%2031%20August%20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chille\AppData\Local\Microsoft\Windows\Temporary%20Internet%20Files\Content.Outlook\TRZJLKUD\2013%20Revised%20Charges%20Models\United%20Energy%202013%20AMI%20charges%20revision%20application%20-charges%20model%20-31%20August%202012_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chille\AppData\Local\Microsoft\Windows\Temporary%20Internet%20Files\Content.Outlook\TRZJLKUD\2011%20Revised%20Charges%20Models\Victorian%20AMI%20-%20Powercor%20-%202011%20Revised%20Charges%20Application%20-%20Charges%20Model%20-%20%2031%20August%2020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chille\AppData\Local\Microsoft\Windows\Temporary%20Internet%20Files\Content.Outlook\TRZJLKUD\2013%20Revised%20Charges%20Models\Powercor%20AMI%20charges%20revision%20application%202013%20-charges%20model%20-20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chille\AppData\Local\Microsoft\Windows\Temporary%20Internet%20Files\Content.Outlook\TRZJLKUD\2011%20Revised%20Charges%20Models\Victorian%20AMI%20-%20CitiPower%20-%202011%20Revised%20Charges%20Application%20-%20Charges%20Model%20-%20%2031%20August%20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chille\AppData\Local\Microsoft\Windows\Temporary%20Internet%20Files\Content.Outlook\TRZJLKUD\2013%20Revised%20Charges%20Models\CitiPower%20AMI%20charges%20revision%20application%202013%20-charges%20model%20-%2031%20August%20201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chille\AppData\Local\Microsoft\Windows\Temporary%20Internet%20Files\Content.Outlook\TRZJLKUD\2011%20Revised%20Charges%20Models\Victorian%20AMI%20-%20SP%20AusNet%20-%202011%20Revised%20Charges%20Application%20-%20Charges%20Model%20-%20%2031%20October%202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chille\AppData\Local\Microsoft\Windows\Temporary%20Internet%20Files\Content.Outlook\TRZJLKUD\2013%20Revised%20Charges%20Models\SP%20AusNet%20AMI%20charges%20revision%20application%202013-charges%20model%20-31%20August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bond1\AppData\Local\Microsoft\Windows\Temporary%20Internet%20Files\Content.Outlook\10MGTRIJ\New%20AMI\UE%20-%20AMI%202014%20charges%20revision%20model%20(2014%20Charges%20Application)%203008201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chille\AppData\Local\Microsoft\Windows\Temporary%20Internet%20Files\Content.Outlook\TRZJLKUD\2011%20Revised%20Charges%20Models\Victorian%20AMI%20-%20Jemena%20-%202011%20Revised%20Charges%20Application%20-%20Charges%20Model%20-%20%2031%20August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bond1\AppData\Local\Microsoft\Windows\Temporary%20Internet%20Files\Content.Outlook\10MGTRIJ\New%20AMI\Powercor%20-%20AMI%20Charges%20Model%20(2014%20Charges%20Application)%20v1.0%203008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bond1\AppData\Local\Microsoft\Windows\Temporary%20Internet%20Files\Content.Outlook\10MGTRIJ\New%20AMI\CitiPower%20-%20AMI%20Charges%20Model%20(2014%20Charges%20Application)%20v1.0%203008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bond1\AppData\Local\Microsoft\Windows\Temporary%20Internet%20Files\Content.Outlook\10MGTRIJ\New%20AMI\SP%20AusNet%20AMI%20Charges%20Model%20(2014%20Charges%20Application)%20-%20PUBLIC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bond1\AppData\Local\Microsoft\Windows\Temporary%20Internet%20Files\Content.Outlook\10MGTRIJ\New%20AMI\Jemena%20-%20AMI%20Charges%20Model%20(2014%20Charges%20Application)%2030%20August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bond1\AppData\Local\Microsoft\Windows\Temporary%20Internet%20Files\Content.Outlook\10MGTRIJ\UE%20-%20AMI%202014%20charges%20revision%20model%20(2014%20Charges%20Application)%203008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bond1\AppData\Local\Microsoft\Windows\Temporary%20Internet%20Files\Content.Outlook\10MGTRIJ\Powercor%20-%20AMI%20Charges%20Model%20(2014%20Charges%20Application)%20v1%200%203008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bond1\AppData\Local\Microsoft\Windows\Temporary%20Internet%20Files\Content.Outlook\10MGTRIJ\CitiPower%20-%20AMI%20Charges%20Model%20(2014%20Charges%20Application)%20v1%200%203008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onomic Assum"/>
    </sheetNames>
    <sheetDataSet>
      <sheetData sheetId="0">
        <row r="4">
          <cell r="E4">
            <v>2007</v>
          </cell>
          <cell r="F4">
            <v>2008</v>
          </cell>
          <cell r="G4">
            <v>2009</v>
          </cell>
          <cell r="H4">
            <v>2010</v>
          </cell>
          <cell r="I4">
            <v>2011</v>
          </cell>
          <cell r="J4">
            <v>2012</v>
          </cell>
          <cell r="K4">
            <v>2013</v>
          </cell>
          <cell r="L4">
            <v>2014</v>
          </cell>
          <cell r="M4">
            <v>2015</v>
          </cell>
        </row>
        <row r="6">
          <cell r="B6" t="str">
            <v>CPI</v>
          </cell>
          <cell r="E6">
            <v>3.9385847797062556E-2</v>
          </cell>
          <cell r="F6">
            <v>1.862556197816323E-2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NSP Data Inputs 2012-15"/>
      <sheetName val="Data 2006-08"/>
      <sheetName val="Data 2009-11"/>
      <sheetName val="Data 2009-15 (Real $2008)"/>
      <sheetName val="Tariff Compliance"/>
      <sheetName val="AMI Building Blocks 2009-15"/>
      <sheetName val="AMI Tax Depn 2009-15"/>
      <sheetName val="AMI RAB 2009-15"/>
      <sheetName val="Offset of Costs and Rev 2006-08"/>
      <sheetName val="IMRO Decision 2006-10"/>
    </sheetNames>
    <sheetDataSet>
      <sheetData sheetId="0"/>
      <sheetData sheetId="1">
        <row r="10">
          <cell r="G10">
            <v>74072.104309416609</v>
          </cell>
          <cell r="H10">
            <v>46819.839679358716</v>
          </cell>
          <cell r="I10">
            <v>0</v>
          </cell>
          <cell r="J10">
            <v>0</v>
          </cell>
        </row>
        <row r="11">
          <cell r="G11">
            <v>726212.07420881651</v>
          </cell>
          <cell r="H11">
            <v>0</v>
          </cell>
          <cell r="I11">
            <v>0</v>
          </cell>
          <cell r="J11">
            <v>0</v>
          </cell>
        </row>
        <row r="12">
          <cell r="G12">
            <v>23740254.954135478</v>
          </cell>
          <cell r="H12">
            <v>36233290.682221986</v>
          </cell>
          <cell r="I12">
            <v>4649369.5663556559</v>
          </cell>
          <cell r="J12">
            <v>846727.02310664789</v>
          </cell>
        </row>
        <row r="13">
          <cell r="G13">
            <v>499072.1998</v>
          </cell>
          <cell r="H13">
            <v>1115270.5055065695</v>
          </cell>
          <cell r="I13">
            <v>3934008.1022063512</v>
          </cell>
          <cell r="J13">
            <v>3511562.2046359745</v>
          </cell>
        </row>
        <row r="14">
          <cell r="G14">
            <v>1703483.594085244</v>
          </cell>
          <cell r="H14">
            <v>3772971.7264100933</v>
          </cell>
          <cell r="I14">
            <v>1112809.9779893616</v>
          </cell>
          <cell r="J14">
            <v>466899.33315340453</v>
          </cell>
        </row>
        <row r="15">
          <cell r="G15">
            <v>2752519.5332875773</v>
          </cell>
          <cell r="H15">
            <v>-764837.9640153466</v>
          </cell>
          <cell r="I15">
            <v>0</v>
          </cell>
          <cell r="J15">
            <v>0</v>
          </cell>
        </row>
        <row r="16">
          <cell r="G16">
            <v>29495614.459826529</v>
          </cell>
          <cell r="H16">
            <v>40403514.789802656</v>
          </cell>
          <cell r="I16">
            <v>9696187.6465513669</v>
          </cell>
          <cell r="J16">
            <v>4825188.5608960269</v>
          </cell>
        </row>
        <row r="55">
          <cell r="G55">
            <v>20060926.000000004</v>
          </cell>
          <cell r="H55">
            <v>20139122.988656208</v>
          </cell>
          <cell r="I55">
            <v>17898729.260155164</v>
          </cell>
          <cell r="J55">
            <v>16276643.178179944</v>
          </cell>
        </row>
        <row r="92">
          <cell r="H92">
            <v>173.38</v>
          </cell>
          <cell r="I92">
            <v>195.26016790540206</v>
          </cell>
          <cell r="J92">
            <v>216.32383907853867</v>
          </cell>
          <cell r="O92">
            <v>249999.48384922594</v>
          </cell>
          <cell r="P92">
            <v>254072.24440003326</v>
          </cell>
          <cell r="Q92">
            <v>256828.86434831121</v>
          </cell>
        </row>
        <row r="93">
          <cell r="H93">
            <v>173.38</v>
          </cell>
          <cell r="I93">
            <v>195.26016790540206</v>
          </cell>
          <cell r="J93">
            <v>216.32383907853867</v>
          </cell>
          <cell r="O93">
            <v>31632.350361878543</v>
          </cell>
          <cell r="P93">
            <v>31065.143117597694</v>
          </cell>
          <cell r="Q93">
            <v>31402.192107015238</v>
          </cell>
        </row>
        <row r="95">
          <cell r="H95">
            <v>213.07</v>
          </cell>
          <cell r="I95">
            <v>239.9543204566825</v>
          </cell>
          <cell r="J95">
            <v>265.84517631916458</v>
          </cell>
          <cell r="O95">
            <v>32475.769470302679</v>
          </cell>
          <cell r="P95">
            <v>32880.004813112952</v>
          </cell>
          <cell r="Q95">
            <v>33236.744595458455</v>
          </cell>
        </row>
        <row r="97">
          <cell r="H97">
            <v>236.88</v>
          </cell>
          <cell r="I97">
            <v>266.77938229474722</v>
          </cell>
          <cell r="J97">
            <v>295.56388108752589</v>
          </cell>
          <cell r="O97">
            <v>2269.1312264210333</v>
          </cell>
          <cell r="P97">
            <v>2297.3757623983129</v>
          </cell>
          <cell r="Q97">
            <v>2322.3017115915122</v>
          </cell>
        </row>
      </sheetData>
      <sheetData sheetId="2">
        <row r="40">
          <cell r="D40">
            <v>480000</v>
          </cell>
          <cell r="E40">
            <v>397789</v>
          </cell>
          <cell r="F40">
            <v>522383</v>
          </cell>
        </row>
        <row r="41">
          <cell r="D41">
            <v>2406405</v>
          </cell>
          <cell r="E41">
            <v>3369242</v>
          </cell>
          <cell r="F41">
            <v>3831095</v>
          </cell>
        </row>
        <row r="42">
          <cell r="D42">
            <v>2886405</v>
          </cell>
          <cell r="E42">
            <v>3767031</v>
          </cell>
          <cell r="F42">
            <v>4353478</v>
          </cell>
        </row>
        <row r="45">
          <cell r="D45">
            <v>1015877.2</v>
          </cell>
          <cell r="E45">
            <v>1421583.2745999997</v>
          </cell>
          <cell r="F45">
            <v>1616244</v>
          </cell>
        </row>
        <row r="46">
          <cell r="D46">
            <v>0</v>
          </cell>
          <cell r="E46">
            <v>0</v>
          </cell>
          <cell r="F46">
            <v>0</v>
          </cell>
        </row>
        <row r="47">
          <cell r="D47">
            <v>517344.8</v>
          </cell>
          <cell r="E47">
            <v>724698.72540000023</v>
          </cell>
          <cell r="F47">
            <v>824062</v>
          </cell>
        </row>
        <row r="48">
          <cell r="D48">
            <v>1533222</v>
          </cell>
          <cell r="E48">
            <v>2146282</v>
          </cell>
          <cell r="F48">
            <v>2440306</v>
          </cell>
        </row>
        <row r="50">
          <cell r="D50">
            <v>4419627</v>
          </cell>
          <cell r="E50">
            <v>5913313</v>
          </cell>
          <cell r="F50">
            <v>6793784</v>
          </cell>
        </row>
        <row r="59">
          <cell r="D59">
            <v>284672</v>
          </cell>
          <cell r="E59">
            <v>292765</v>
          </cell>
          <cell r="F59">
            <v>298686</v>
          </cell>
        </row>
        <row r="105">
          <cell r="D105">
            <v>0</v>
          </cell>
          <cell r="E105">
            <v>0</v>
          </cell>
          <cell r="F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</row>
      </sheetData>
      <sheetData sheetId="3">
        <row r="55">
          <cell r="D55">
            <v>8437513.7038626671</v>
          </cell>
          <cell r="E55">
            <v>10167825</v>
          </cell>
          <cell r="F55">
            <v>16811908.977192648</v>
          </cell>
        </row>
      </sheetData>
      <sheetData sheetId="4">
        <row r="60">
          <cell r="D60">
            <v>10895116.050000001</v>
          </cell>
        </row>
      </sheetData>
      <sheetData sheetId="5"/>
      <sheetData sheetId="6"/>
      <sheetData sheetId="7"/>
      <sheetData sheetId="8"/>
      <sheetData sheetId="9"/>
      <sheetData sheetId="10">
        <row r="402">
          <cell r="J402">
            <v>219872</v>
          </cell>
          <cell r="K402">
            <v>223531</v>
          </cell>
          <cell r="L402">
            <v>226952</v>
          </cell>
          <cell r="M402">
            <v>230406</v>
          </cell>
        </row>
        <row r="403">
          <cell r="J403">
            <v>38698</v>
          </cell>
          <cell r="K403">
            <v>39342</v>
          </cell>
          <cell r="L403">
            <v>39944</v>
          </cell>
          <cell r="M403">
            <v>40552</v>
          </cell>
        </row>
        <row r="404">
          <cell r="J404">
            <v>25596</v>
          </cell>
          <cell r="K404">
            <v>26022</v>
          </cell>
          <cell r="L404">
            <v>26420</v>
          </cell>
          <cell r="M404">
            <v>26822</v>
          </cell>
        </row>
        <row r="405">
          <cell r="J405">
            <v>1885</v>
          </cell>
          <cell r="K405">
            <v>1916</v>
          </cell>
          <cell r="L405">
            <v>1946</v>
          </cell>
          <cell r="M405">
            <v>1975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NSP Data Inputs 2012-15"/>
      <sheetName val="Data 2006-08"/>
      <sheetName val="Data 2009-11"/>
      <sheetName val="Data 2009-15 (Real $2008)"/>
      <sheetName val="Tariff Compliance"/>
      <sheetName val="AMI Building Blocks 2009-15"/>
      <sheetName val="AMI Tax Depn 2009-15"/>
      <sheetName val="AMI RAB 2009-15"/>
      <sheetName val="Offset of Costs and Rev 2006-08"/>
      <sheetName val="IMRO Decision 2006-10"/>
    </sheetNames>
    <sheetDataSet>
      <sheetData sheetId="0" refreshError="1"/>
      <sheetData sheetId="1">
        <row r="16">
          <cell r="G16">
            <v>140838402.08090585</v>
          </cell>
          <cell r="H16">
            <v>132934539.73226717</v>
          </cell>
          <cell r="I16">
            <v>17135464.194977008</v>
          </cell>
          <cell r="J16">
            <v>18034039.978675079</v>
          </cell>
        </row>
        <row r="55">
          <cell r="G55">
            <v>40190981.149277501</v>
          </cell>
          <cell r="H55">
            <v>39489353.750032745</v>
          </cell>
          <cell r="I55">
            <v>30771605.313338093</v>
          </cell>
          <cell r="J55">
            <v>28439658.931913845</v>
          </cell>
        </row>
        <row r="98">
          <cell r="H98">
            <v>130.44999999999999</v>
          </cell>
          <cell r="I98">
            <v>157.43989465182617</v>
          </cell>
          <cell r="J98">
            <v>190.01395498641716</v>
          </cell>
          <cell r="O98">
            <v>390822.125</v>
          </cell>
          <cell r="P98">
            <v>398557.46675785119</v>
          </cell>
          <cell r="Q98">
            <v>406120.02995804162</v>
          </cell>
        </row>
        <row r="99">
          <cell r="H99">
            <v>149.9</v>
          </cell>
          <cell r="I99">
            <v>180.91406828906662</v>
          </cell>
          <cell r="J99">
            <v>218.34489729753875</v>
          </cell>
          <cell r="O99">
            <v>155344.875</v>
          </cell>
          <cell r="P99">
            <v>156548.59239537409</v>
          </cell>
          <cell r="Q99">
            <v>157702.89891689076</v>
          </cell>
        </row>
        <row r="100">
          <cell r="H100">
            <v>181.1</v>
          </cell>
          <cell r="I100">
            <v>218.56929797965287</v>
          </cell>
          <cell r="J100">
            <v>263.79093329275696</v>
          </cell>
          <cell r="O100">
            <v>83175.75</v>
          </cell>
          <cell r="P100">
            <v>84284.130234145021</v>
          </cell>
          <cell r="Q100">
            <v>85357.055867229894</v>
          </cell>
        </row>
        <row r="101">
          <cell r="H101">
            <v>200.89</v>
          </cell>
          <cell r="I101">
            <v>242.45381706864973</v>
          </cell>
          <cell r="J101">
            <v>292.61712086792903</v>
          </cell>
          <cell r="O101">
            <v>42268.18</v>
          </cell>
          <cell r="P101">
            <v>42292.871638879471</v>
          </cell>
          <cell r="Q101">
            <v>42316.309334747828</v>
          </cell>
        </row>
        <row r="102">
          <cell r="H102">
            <v>258.68</v>
          </cell>
          <cell r="I102">
            <v>312.20047488336064</v>
          </cell>
          <cell r="J102">
            <v>376.79424971932843</v>
          </cell>
          <cell r="O102">
            <v>3786.4999750000002</v>
          </cell>
          <cell r="P102">
            <v>3826.2809487502545</v>
          </cell>
          <cell r="Q102">
            <v>3864.6927280900645</v>
          </cell>
        </row>
      </sheetData>
      <sheetData sheetId="2">
        <row r="40">
          <cell r="D40">
            <v>196765.7254</v>
          </cell>
          <cell r="E40">
            <v>517644.13400000002</v>
          </cell>
          <cell r="F40">
            <v>490545.0344</v>
          </cell>
        </row>
        <row r="41">
          <cell r="D41">
            <v>0</v>
          </cell>
          <cell r="E41">
            <v>0</v>
          </cell>
          <cell r="F41">
            <v>0</v>
          </cell>
        </row>
        <row r="42">
          <cell r="D42">
            <v>196765.7254</v>
          </cell>
          <cell r="E42">
            <v>517644.13400000002</v>
          </cell>
          <cell r="F42">
            <v>490545.0344</v>
          </cell>
        </row>
        <row r="45">
          <cell r="D45">
            <v>8374116.0488559995</v>
          </cell>
          <cell r="E45">
            <v>7403752.3311585048</v>
          </cell>
          <cell r="F45">
            <v>9000552.3345711287</v>
          </cell>
        </row>
        <row r="46">
          <cell r="D46">
            <v>180441.21576354679</v>
          </cell>
          <cell r="E46">
            <v>143458.41723118219</v>
          </cell>
          <cell r="F46">
            <v>205691.66480831188</v>
          </cell>
        </row>
        <row r="47">
          <cell r="D47">
            <v>2049635.5721609329</v>
          </cell>
          <cell r="E47">
            <v>2907290.7879588599</v>
          </cell>
          <cell r="F47">
            <v>3094360.020275455</v>
          </cell>
        </row>
        <row r="48">
          <cell r="D48">
            <v>10604192.836780479</v>
          </cell>
          <cell r="E48">
            <v>10454501.536348548</v>
          </cell>
          <cell r="F48">
            <v>12300604.019654896</v>
          </cell>
        </row>
        <row r="50">
          <cell r="D50">
            <v>10800958.56218048</v>
          </cell>
          <cell r="E50">
            <v>10972145.670348547</v>
          </cell>
          <cell r="F50">
            <v>12791149.054054895</v>
          </cell>
        </row>
        <row r="59">
          <cell r="D59">
            <v>747003</v>
          </cell>
          <cell r="E59">
            <v>754801</v>
          </cell>
          <cell r="F59">
            <v>766965</v>
          </cell>
        </row>
        <row r="105">
          <cell r="D105">
            <v>0</v>
          </cell>
          <cell r="E105">
            <v>0</v>
          </cell>
          <cell r="F105">
            <v>0</v>
          </cell>
        </row>
        <row r="106">
          <cell r="D106">
            <v>0</v>
          </cell>
          <cell r="E106">
            <v>1559372</v>
          </cell>
          <cell r="F106">
            <v>77435.960000000006</v>
          </cell>
        </row>
        <row r="107">
          <cell r="D107">
            <v>329755.78999999998</v>
          </cell>
          <cell r="E107">
            <v>468319.97</v>
          </cell>
          <cell r="F107">
            <v>1418069.36</v>
          </cell>
        </row>
        <row r="108">
          <cell r="D108">
            <v>0</v>
          </cell>
          <cell r="E108">
            <v>0</v>
          </cell>
          <cell r="F108">
            <v>0</v>
          </cell>
        </row>
        <row r="109">
          <cell r="D109">
            <v>697942.26</v>
          </cell>
          <cell r="E109">
            <v>775965.75</v>
          </cell>
          <cell r="F109">
            <v>4021295.64</v>
          </cell>
        </row>
        <row r="110">
          <cell r="D110">
            <v>0</v>
          </cell>
          <cell r="E110">
            <v>0</v>
          </cell>
          <cell r="F110">
            <v>0</v>
          </cell>
        </row>
        <row r="111">
          <cell r="D111">
            <v>0</v>
          </cell>
          <cell r="E111">
            <v>556621</v>
          </cell>
          <cell r="F111">
            <v>654359.875</v>
          </cell>
        </row>
        <row r="112">
          <cell r="D112">
            <v>0</v>
          </cell>
          <cell r="E112">
            <v>0</v>
          </cell>
          <cell r="F112">
            <v>1837075.9995795637</v>
          </cell>
        </row>
        <row r="113">
          <cell r="D113">
            <v>0</v>
          </cell>
          <cell r="E113">
            <v>0</v>
          </cell>
          <cell r="F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</row>
      </sheetData>
      <sheetData sheetId="3">
        <row r="55">
          <cell r="D55">
            <v>27133020.450744912</v>
          </cell>
          <cell r="E55">
            <v>39809474.16262313</v>
          </cell>
          <cell r="F55">
            <v>42811168.404355973</v>
          </cell>
        </row>
      </sheetData>
      <sheetData sheetId="4">
        <row r="60">
          <cell r="D60">
            <v>37927245.233500004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02">
          <cell r="J402">
            <v>327081.07016085723</v>
          </cell>
          <cell r="K402">
            <v>334788.23161118897</v>
          </cell>
          <cell r="L402">
            <v>342342.5113433029</v>
          </cell>
          <cell r="M402">
            <v>349977.60200844088</v>
          </cell>
        </row>
        <row r="403">
          <cell r="J403">
            <v>336438.38255269907</v>
          </cell>
          <cell r="K403">
            <v>340055.93100589758</v>
          </cell>
          <cell r="L403">
            <v>321198.73973271751</v>
          </cell>
          <cell r="M403">
            <v>302440.52795478486</v>
          </cell>
        </row>
        <row r="404">
          <cell r="J404">
            <v>82453.314942680299</v>
          </cell>
          <cell r="K404">
            <v>82990.399336892544</v>
          </cell>
          <cell r="L404">
            <v>83437.127095429198</v>
          </cell>
          <cell r="M404">
            <v>83883.667122120998</v>
          </cell>
        </row>
        <row r="405">
          <cell r="J405">
            <v>1478.232343763259</v>
          </cell>
          <cell r="K405">
            <v>1505.1880460207444</v>
          </cell>
          <cell r="L405">
            <v>1530.9472505786187</v>
          </cell>
          <cell r="M405">
            <v>1556.1436981534141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NSP Data Inputs 2009-11"/>
      <sheetName val="Data 2006-08"/>
      <sheetName val="Data 2009-11"/>
      <sheetName val="Tariff Compliance"/>
      <sheetName val="AMI Building Blocks"/>
      <sheetName val="AMI RAB 2009-11"/>
      <sheetName val="Offset of Costs and Rev 2006-08"/>
      <sheetName val="IMRO Decision 2006-10"/>
    </sheetNames>
    <sheetDataSet>
      <sheetData sheetId="0"/>
      <sheetData sheetId="1"/>
      <sheetData sheetId="2"/>
      <sheetData sheetId="3">
        <row r="102">
          <cell r="I102">
            <v>425181.5</v>
          </cell>
          <cell r="J102">
            <v>427878</v>
          </cell>
        </row>
        <row r="103">
          <cell r="I103">
            <v>129475</v>
          </cell>
          <cell r="J103">
            <v>130287</v>
          </cell>
        </row>
        <row r="104">
          <cell r="I104">
            <v>0</v>
          </cell>
          <cell r="J104">
            <v>0</v>
          </cell>
        </row>
        <row r="105">
          <cell r="I105">
            <v>84520</v>
          </cell>
          <cell r="J105">
            <v>85056</v>
          </cell>
        </row>
        <row r="106">
          <cell r="I106">
            <v>0</v>
          </cell>
          <cell r="J106">
            <v>0</v>
          </cell>
        </row>
        <row r="107">
          <cell r="I107">
            <v>3016</v>
          </cell>
          <cell r="J107">
            <v>3035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NSP Data Inputs 2011-15"/>
      <sheetName val="Tariff Compliance"/>
      <sheetName val="Data 2006-08"/>
      <sheetName val="Data 2009-10"/>
      <sheetName val="Data 2009-15 (Real $2008)"/>
      <sheetName val="AMI Building Blocks 2009-15"/>
      <sheetName val="AMI Tax Depn 2009-15"/>
      <sheetName val="AMI RAB 2009-15"/>
      <sheetName val="Offset of Costs and Rev 2006-08"/>
      <sheetName val="IMRO Decision 2006-10"/>
    </sheetNames>
    <sheetDataSet>
      <sheetData sheetId="0" refreshError="1"/>
      <sheetData sheetId="1" refreshError="1"/>
      <sheetData sheetId="2">
        <row r="50">
          <cell r="K50">
            <v>432156.78</v>
          </cell>
        </row>
        <row r="51">
          <cell r="K51">
            <v>131589.87</v>
          </cell>
        </row>
        <row r="52">
          <cell r="K52">
            <v>0</v>
          </cell>
        </row>
        <row r="53">
          <cell r="K53">
            <v>85906.559999999998</v>
          </cell>
        </row>
        <row r="54">
          <cell r="K54">
            <v>0</v>
          </cell>
        </row>
        <row r="55">
          <cell r="K55">
            <v>3065.35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NSP Data Inputs 2009-11"/>
      <sheetName val="Data 2006-08"/>
      <sheetName val="Data 2009-11"/>
      <sheetName val="Tariff Compliance"/>
      <sheetName val="AMI Building Blocks"/>
      <sheetName val="AMI RAB 2009-11"/>
      <sheetName val="Offset of Costs and Rev 2006-08"/>
      <sheetName val="IMRO Decision 2006-10"/>
    </sheetNames>
    <sheetDataSet>
      <sheetData sheetId="0" refreshError="1"/>
      <sheetData sheetId="1">
        <row r="122">
          <cell r="I122">
            <v>584038.65976329509</v>
          </cell>
          <cell r="J122">
            <v>594681.24552226847</v>
          </cell>
        </row>
        <row r="123">
          <cell r="I123">
            <v>100509.17110753273</v>
          </cell>
          <cell r="J123">
            <v>102719.36773556937</v>
          </cell>
        </row>
        <row r="124">
          <cell r="I124">
            <v>3430.0792672842781</v>
          </cell>
          <cell r="J124">
            <v>3457.4087029935436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NSP Data Inputs 2011-15"/>
      <sheetName val="Data 2006-08"/>
      <sheetName val="Data 2009-10"/>
      <sheetName val="Data 2009-15 (Real $2008)"/>
      <sheetName val="Tariff Compliance"/>
      <sheetName val="AMI Building Blocks 2009-15"/>
      <sheetName val="AMI Tax Depn 2009-15"/>
      <sheetName val="AMI RAB 2009-15"/>
      <sheetName val="Offset of Costs and Rev 2006-08"/>
      <sheetName val="IMRO Decision 2006-10"/>
    </sheetNames>
    <sheetDataSet>
      <sheetData sheetId="0" refreshError="1"/>
      <sheetData sheetId="1">
        <row r="112">
          <cell r="N112">
            <v>608884.52263649413</v>
          </cell>
        </row>
        <row r="113">
          <cell r="N113">
            <v>114880.73414048826</v>
          </cell>
        </row>
        <row r="114">
          <cell r="N114">
            <v>4339.3026097331567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NSP Data Inputs 2009-11"/>
      <sheetName val="Data 2006-08"/>
      <sheetName val="Data 2009-11"/>
      <sheetName val="Tariff Compliance"/>
      <sheetName val="AMI Building Blocks"/>
      <sheetName val="AMI RAB 2009-11"/>
      <sheetName val="Offset of Costs and Rev 2006-08"/>
      <sheetName val="IMRO Decision 2006-10"/>
    </sheetNames>
    <sheetDataSet>
      <sheetData sheetId="0" refreshError="1"/>
      <sheetData sheetId="1">
        <row r="122">
          <cell r="I122">
            <v>245890.44510410773</v>
          </cell>
          <cell r="J122">
            <v>249326.18171188401</v>
          </cell>
        </row>
        <row r="123">
          <cell r="I123">
            <v>53303.492845984496</v>
          </cell>
          <cell r="J123">
            <v>56089.99289561616</v>
          </cell>
        </row>
        <row r="124">
          <cell r="I124">
            <v>2408.7791746439079</v>
          </cell>
          <cell r="J124">
            <v>2653.4427993655072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NSP Data Inputs 2011-15"/>
      <sheetName val="Data 2006-08"/>
      <sheetName val="Data 2009-10"/>
      <sheetName val="Data 2009-15 (Real $2008)"/>
      <sheetName val="Tariff Compliance"/>
      <sheetName val="AMI Building Blocks 2009-15"/>
      <sheetName val="AMI Tax Depn 2009-15"/>
      <sheetName val="AMI RAB 2009-15"/>
      <sheetName val="Offset of Costs and Rev 2006-08"/>
      <sheetName val="IMRO Decision 2006-10"/>
    </sheetNames>
    <sheetDataSet>
      <sheetData sheetId="0" refreshError="1"/>
      <sheetData sheetId="1">
        <row r="112">
          <cell r="N112">
            <v>255029.57803285596</v>
          </cell>
        </row>
        <row r="113">
          <cell r="N113">
            <v>51440.59446082561</v>
          </cell>
        </row>
        <row r="114">
          <cell r="N114">
            <v>1770.7981255265377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NSP Data Inputs 2009-11"/>
      <sheetName val="Data 2006-08"/>
      <sheetName val="Data 2009-11"/>
      <sheetName val="Tariff Compliance"/>
      <sheetName val="AMI Building Blocks"/>
      <sheetName val="AMI RAB 2009-11"/>
      <sheetName val="Offset of Costs and Rev 2006-08"/>
      <sheetName val="IMRO Decision 2006-10"/>
    </sheetNames>
    <sheetDataSet>
      <sheetData sheetId="0" refreshError="1"/>
      <sheetData sheetId="1">
        <row r="108">
          <cell r="I108">
            <v>343244</v>
          </cell>
          <cell r="J108">
            <v>350795</v>
          </cell>
        </row>
        <row r="109">
          <cell r="I109">
            <v>174008</v>
          </cell>
          <cell r="J109">
            <v>177833</v>
          </cell>
        </row>
        <row r="110">
          <cell r="I110">
            <v>76885</v>
          </cell>
          <cell r="J110">
            <v>79300</v>
          </cell>
        </row>
        <row r="111">
          <cell r="I111">
            <v>53262</v>
          </cell>
          <cell r="J111">
            <v>53533</v>
          </cell>
        </row>
        <row r="112">
          <cell r="I112">
            <v>2242</v>
          </cell>
          <cell r="J112">
            <v>2275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NSP Data Inputs 2011-15"/>
      <sheetName val="Data 2006-08"/>
      <sheetName val="Data 2009-10"/>
      <sheetName val="Data 2009-15 (Real $2008)"/>
      <sheetName val="Tariff Compliance"/>
      <sheetName val="AMI Building Blocks 2009-15"/>
      <sheetName val="AMI Tax Depn 2009-15"/>
      <sheetName val="AMI RAB 2009-15"/>
      <sheetName val="Offset of Costs and Rev 2006-08"/>
      <sheetName val="IMRO Decision 2006-10"/>
    </sheetNames>
    <sheetDataSet>
      <sheetData sheetId="0"/>
      <sheetData sheetId="1">
        <row r="98">
          <cell r="N98">
            <v>389633</v>
          </cell>
        </row>
        <row r="99">
          <cell r="N99">
            <v>147484</v>
          </cell>
        </row>
        <row r="100">
          <cell r="N100">
            <v>81747</v>
          </cell>
        </row>
        <row r="101">
          <cell r="N101">
            <v>42013.18</v>
          </cell>
        </row>
        <row r="102">
          <cell r="N102">
            <v>3767.4999750000002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NSP Data Inputs 2012-15"/>
      <sheetName val="Data 2009-15 (Real $2008)"/>
      <sheetName val="Tariff Compliance"/>
      <sheetName val="AMI Building Blocks 2009-15"/>
      <sheetName val="AMI Tax Depn 2009-15"/>
      <sheetName val="AMI RAB 2009-15"/>
      <sheetName val="Offset of Costs and Rev 2006-08"/>
      <sheetName val="IMRO Decision 2006-10"/>
      <sheetName val="Data 2006-08"/>
      <sheetName val="Data 2009-11"/>
    </sheetNames>
    <sheetDataSet>
      <sheetData sheetId="0"/>
      <sheetData sheetId="1">
        <row r="55">
          <cell r="G55">
            <v>28992776.890000001</v>
          </cell>
          <cell r="H55">
            <v>25671467.070630923</v>
          </cell>
          <cell r="I55">
            <v>23033592.454973835</v>
          </cell>
          <cell r="J55">
            <v>23277210.402896699</v>
          </cell>
        </row>
      </sheetData>
      <sheetData sheetId="2">
        <row r="10">
          <cell r="G10">
            <v>733679.7013043476</v>
          </cell>
          <cell r="H10">
            <v>0</v>
          </cell>
          <cell r="I10">
            <v>0</v>
          </cell>
          <cell r="J10">
            <v>0</v>
          </cell>
        </row>
        <row r="11">
          <cell r="G11">
            <v>1143531.6288405799</v>
          </cell>
          <cell r="H11">
            <v>0</v>
          </cell>
          <cell r="I11">
            <v>0</v>
          </cell>
          <cell r="J11">
            <v>0</v>
          </cell>
        </row>
        <row r="12">
          <cell r="G12">
            <v>43962522.852463774</v>
          </cell>
          <cell r="H12">
            <v>56348440.382885695</v>
          </cell>
          <cell r="I12">
            <v>23674776.155003309</v>
          </cell>
          <cell r="J12">
            <v>865637.7210333749</v>
          </cell>
        </row>
        <row r="13">
          <cell r="G13">
            <v>7049544.5210144939</v>
          </cell>
          <cell r="H13">
            <v>1292951.5164452896</v>
          </cell>
          <cell r="I13">
            <v>5828584.2671120558</v>
          </cell>
          <cell r="J13">
            <v>2326138.7943455102</v>
          </cell>
        </row>
        <row r="14">
          <cell r="G14">
            <v>370277.67362318846</v>
          </cell>
          <cell r="H14">
            <v>1782914.2104526551</v>
          </cell>
          <cell r="I14">
            <v>422211.38110321079</v>
          </cell>
          <cell r="J14">
            <v>410650.3128235116</v>
          </cell>
        </row>
        <row r="15">
          <cell r="G15">
            <v>2393089.9302898548</v>
          </cell>
          <cell r="H15">
            <v>8620319.5376928076</v>
          </cell>
          <cell r="I15">
            <v>3940704.6637074575</v>
          </cell>
          <cell r="J15">
            <v>0</v>
          </cell>
        </row>
        <row r="16">
          <cell r="G16">
            <v>55652646.307536244</v>
          </cell>
          <cell r="H16">
            <v>68044625.647476435</v>
          </cell>
          <cell r="I16">
            <v>33866276.466926031</v>
          </cell>
          <cell r="J16">
            <v>3602426.8282023966</v>
          </cell>
        </row>
        <row r="144">
          <cell r="D144">
            <v>4.9810844892812067E-2</v>
          </cell>
          <cell r="E144">
            <v>1.2612612612612484E-2</v>
          </cell>
          <cell r="F144">
            <v>2.7876631079478242E-2</v>
          </cell>
          <cell r="G144">
            <v>3.5199076745527913E-2</v>
          </cell>
          <cell r="H144">
            <v>2.0040080160320661E-2</v>
          </cell>
          <cell r="I144">
            <v>2.47E-2</v>
          </cell>
          <cell r="J144">
            <v>2.47E-2</v>
          </cell>
        </row>
      </sheetData>
      <sheetData sheetId="3">
        <row r="50">
          <cell r="N50">
            <v>500757</v>
          </cell>
        </row>
        <row r="51">
          <cell r="N51">
            <v>74053</v>
          </cell>
        </row>
        <row r="52">
          <cell r="N52">
            <v>0</v>
          </cell>
        </row>
        <row r="53">
          <cell r="N53">
            <v>92126</v>
          </cell>
        </row>
        <row r="54">
          <cell r="N54">
            <v>0</v>
          </cell>
        </row>
        <row r="55">
          <cell r="N55">
            <v>2809</v>
          </cell>
        </row>
      </sheetData>
      <sheetData sheetId="4"/>
      <sheetData sheetId="5"/>
      <sheetData sheetId="6"/>
      <sheetData sheetId="7"/>
      <sheetData sheetId="8"/>
      <sheetData sheetId="9">
        <row r="84">
          <cell r="D84">
            <v>0</v>
          </cell>
          <cell r="E84">
            <v>0</v>
          </cell>
          <cell r="F84">
            <v>0</v>
          </cell>
        </row>
        <row r="85">
          <cell r="D85">
            <v>0</v>
          </cell>
          <cell r="E85">
            <v>0</v>
          </cell>
          <cell r="F85">
            <v>10137598</v>
          </cell>
        </row>
        <row r="86">
          <cell r="D86">
            <v>0</v>
          </cell>
          <cell r="E86">
            <v>0</v>
          </cell>
          <cell r="F86">
            <v>0</v>
          </cell>
        </row>
        <row r="87">
          <cell r="D87">
            <v>0</v>
          </cell>
          <cell r="E87">
            <v>6037000</v>
          </cell>
          <cell r="F87">
            <v>17425658</v>
          </cell>
        </row>
        <row r="88">
          <cell r="D88">
            <v>0</v>
          </cell>
          <cell r="E88">
            <v>6037000</v>
          </cell>
          <cell r="F88">
            <v>27563256</v>
          </cell>
        </row>
        <row r="115">
          <cell r="D115">
            <v>0</v>
          </cell>
          <cell r="E115">
            <v>990000</v>
          </cell>
          <cell r="F115">
            <v>1010000</v>
          </cell>
        </row>
      </sheetData>
      <sheetData sheetId="10">
        <row r="10">
          <cell r="D10">
            <v>3869552.5300000003</v>
          </cell>
          <cell r="E10">
            <v>3588444</v>
          </cell>
          <cell r="F10">
            <v>4015842.4699999997</v>
          </cell>
        </row>
        <row r="11">
          <cell r="D11">
            <v>0</v>
          </cell>
          <cell r="E11">
            <v>0</v>
          </cell>
          <cell r="F11">
            <v>1767573.8999999987</v>
          </cell>
        </row>
        <row r="12">
          <cell r="D12">
            <v>6412353.8598686606</v>
          </cell>
          <cell r="E12">
            <v>20654799</v>
          </cell>
          <cell r="F12">
            <v>42573902.870000102</v>
          </cell>
        </row>
        <row r="13">
          <cell r="D13">
            <v>63237884.079999901</v>
          </cell>
          <cell r="E13">
            <v>34423246</v>
          </cell>
          <cell r="F13">
            <v>8382035.7199999997</v>
          </cell>
        </row>
        <row r="14">
          <cell r="D14">
            <v>0</v>
          </cell>
          <cell r="E14">
            <v>0</v>
          </cell>
          <cell r="F14">
            <v>2276045.69</v>
          </cell>
        </row>
        <row r="15">
          <cell r="D15">
            <v>100958.88</v>
          </cell>
          <cell r="E15">
            <v>367167</v>
          </cell>
          <cell r="F15">
            <v>10550230.790000001</v>
          </cell>
        </row>
        <row r="16">
          <cell r="D16">
            <v>73620749.349868566</v>
          </cell>
          <cell r="E16">
            <v>59033656</v>
          </cell>
          <cell r="F16">
            <v>69565631.440000102</v>
          </cell>
        </row>
        <row r="55">
          <cell r="D55">
            <v>14023247.5320845</v>
          </cell>
          <cell r="E55">
            <v>16011951</v>
          </cell>
          <cell r="F55">
            <v>27357162.129999992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NSP Data Inputs 2009-11"/>
      <sheetName val="Data 2006-08"/>
      <sheetName val="Data 2009-11"/>
      <sheetName val="Tariff Compliance"/>
      <sheetName val="AMI Building Blocks"/>
      <sheetName val="AMI RAB 2009-11"/>
      <sheetName val="Offset of Costs and Rev 2006-08"/>
      <sheetName val="IMRO Decision 2006-10"/>
    </sheetNames>
    <sheetDataSet>
      <sheetData sheetId="0" refreshError="1"/>
      <sheetData sheetId="1">
        <row r="102">
          <cell r="I102">
            <v>236549.22881439043</v>
          </cell>
          <cell r="J102">
            <v>241783.64399999997</v>
          </cell>
        </row>
        <row r="103">
          <cell r="I103">
            <v>34814.263108918894</v>
          </cell>
          <cell r="J103">
            <v>35583.96</v>
          </cell>
        </row>
        <row r="105">
          <cell r="I105">
            <v>30999.969287682739</v>
          </cell>
          <cell r="J105">
            <v>31682.21</v>
          </cell>
        </row>
        <row r="107">
          <cell r="I107">
            <v>3026.1262320478227</v>
          </cell>
          <cell r="J107">
            <v>3090.1860000000006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NSP Data Inputs 2012-15"/>
      <sheetName val="Data 2006-08"/>
      <sheetName val="Data 2009-11"/>
      <sheetName val="Data 2009-15 (Real $2008)"/>
      <sheetName val="Tariff Compliance"/>
      <sheetName val="AMI Building Blocks 2009-15"/>
      <sheetName val="AMI Tax Depn 2009-15"/>
      <sheetName val="AMI RAB 2009-15"/>
      <sheetName val="Offset of Costs and Rev 2006-08"/>
      <sheetName val="IMRO Decision 2006-10"/>
    </sheetNames>
    <sheetDataSet>
      <sheetData sheetId="0" refreshError="1"/>
      <sheetData sheetId="1" refreshError="1"/>
      <sheetData sheetId="2">
        <row r="84">
          <cell r="D84">
            <v>0</v>
          </cell>
          <cell r="E84">
            <v>0</v>
          </cell>
          <cell r="F84">
            <v>0</v>
          </cell>
        </row>
        <row r="85">
          <cell r="D85">
            <v>332599.15000000002</v>
          </cell>
          <cell r="E85">
            <v>2817702.7430999996</v>
          </cell>
          <cell r="F85">
            <v>10813305.572385356</v>
          </cell>
        </row>
        <row r="86">
          <cell r="D86">
            <v>0</v>
          </cell>
          <cell r="E86">
            <v>0</v>
          </cell>
          <cell r="F86">
            <v>352889.07546270383</v>
          </cell>
        </row>
        <row r="87">
          <cell r="D87">
            <v>0</v>
          </cell>
          <cell r="E87">
            <v>73834.561198694442</v>
          </cell>
          <cell r="F87">
            <v>188267.84</v>
          </cell>
        </row>
        <row r="88">
          <cell r="D88">
            <v>332599.15000000002</v>
          </cell>
          <cell r="E88">
            <v>2891537.3042986942</v>
          </cell>
          <cell r="F88">
            <v>11354462.48784806</v>
          </cell>
        </row>
        <row r="115">
          <cell r="D115">
            <v>1528664.3097925447</v>
          </cell>
          <cell r="E115">
            <v>5857710.0682765488</v>
          </cell>
          <cell r="F115">
            <v>9571029.1244312823</v>
          </cell>
        </row>
      </sheetData>
      <sheetData sheetId="3">
        <row r="10">
          <cell r="D10">
            <v>4532473.805165709</v>
          </cell>
          <cell r="E10">
            <v>3901457.2776575359</v>
          </cell>
          <cell r="F10">
            <v>1584273.64</v>
          </cell>
        </row>
        <row r="11">
          <cell r="D11">
            <v>4149037.5409553209</v>
          </cell>
          <cell r="E11">
            <v>4817824.8053511195</v>
          </cell>
          <cell r="F11">
            <v>760748.95</v>
          </cell>
        </row>
        <row r="12">
          <cell r="D12">
            <v>2210814.54</v>
          </cell>
          <cell r="E12">
            <v>66062251.949999988</v>
          </cell>
          <cell r="F12">
            <v>92857134.000426456</v>
          </cell>
        </row>
        <row r="13">
          <cell r="D13">
            <v>24047547.66</v>
          </cell>
          <cell r="E13">
            <v>21118048.699999999</v>
          </cell>
          <cell r="F13">
            <v>11333414.250000002</v>
          </cell>
        </row>
        <row r="14">
          <cell r="D14">
            <v>945747.1</v>
          </cell>
          <cell r="E14">
            <v>3326145.38</v>
          </cell>
          <cell r="F14">
            <v>16172606.329999998</v>
          </cell>
        </row>
        <row r="15">
          <cell r="D15">
            <v>527728.94999999995</v>
          </cell>
          <cell r="E15">
            <v>627653.81999999995</v>
          </cell>
          <cell r="F15">
            <v>349105.82</v>
          </cell>
        </row>
        <row r="16">
          <cell r="D16">
            <v>36413349.596121036</v>
          </cell>
          <cell r="E16">
            <v>99853381.933008626</v>
          </cell>
          <cell r="F16">
            <v>123057282.99042645</v>
          </cell>
        </row>
        <row r="55">
          <cell r="D55">
            <v>24814068.844235312</v>
          </cell>
          <cell r="E55">
            <v>19953460.2551184</v>
          </cell>
          <cell r="F55">
            <v>26822517.64150586</v>
          </cell>
        </row>
      </sheetData>
      <sheetData sheetId="4">
        <row r="8">
          <cell r="G8" t="str">
            <v>Real 2008 $</v>
          </cell>
        </row>
        <row r="10">
          <cell r="G10">
            <v>839228.47869565233</v>
          </cell>
          <cell r="H10">
            <v>33904.311093644807</v>
          </cell>
          <cell r="I10">
            <v>0</v>
          </cell>
          <cell r="J10">
            <v>0</v>
          </cell>
        </row>
        <row r="11">
          <cell r="G11">
            <v>141545.17797101449</v>
          </cell>
          <cell r="H11">
            <v>43565.415660110993</v>
          </cell>
          <cell r="I11">
            <v>0</v>
          </cell>
          <cell r="J11">
            <v>0</v>
          </cell>
        </row>
        <row r="12">
          <cell r="G12">
            <v>86162321.694262564</v>
          </cell>
          <cell r="H12">
            <v>57032142.629338577</v>
          </cell>
          <cell r="I12">
            <v>6247090.3848163961</v>
          </cell>
          <cell r="J12">
            <v>6224205.5387159772</v>
          </cell>
        </row>
        <row r="13">
          <cell r="G13">
            <v>8184250.4311594209</v>
          </cell>
          <cell r="H13">
            <v>7819347.3298175996</v>
          </cell>
          <cell r="I13">
            <v>6166349.8576883422</v>
          </cell>
          <cell r="J13">
            <v>4594699.8172959602</v>
          </cell>
        </row>
        <row r="14">
          <cell r="G14">
            <v>10192341.702945465</v>
          </cell>
          <cell r="H14">
            <v>7251431.2817517659</v>
          </cell>
          <cell r="I14">
            <v>1993455.3734855996</v>
          </cell>
          <cell r="J14">
            <v>940886.7383391388</v>
          </cell>
        </row>
        <row r="15">
          <cell r="G15">
            <v>154465.95927536234</v>
          </cell>
          <cell r="H15">
            <v>106793.71725331793</v>
          </cell>
          <cell r="I15">
            <v>106793.71725331793</v>
          </cell>
          <cell r="J15">
            <v>115134.63127524522</v>
          </cell>
        </row>
        <row r="16">
          <cell r="G16">
            <v>105674153.44430949</v>
          </cell>
          <cell r="H16">
            <v>72287184.684915006</v>
          </cell>
          <cell r="I16">
            <v>14513689.333243655</v>
          </cell>
          <cell r="J16">
            <v>11874926.725626323</v>
          </cell>
        </row>
        <row r="55">
          <cell r="G55">
            <v>19908330.019932449</v>
          </cell>
          <cell r="H55">
            <v>21087606.146370098</v>
          </cell>
          <cell r="I55">
            <v>20015374.479376387</v>
          </cell>
          <cell r="J55">
            <v>19760711.080877095</v>
          </cell>
        </row>
      </sheetData>
      <sheetData sheetId="5">
        <row r="70">
          <cell r="N70">
            <v>637222.32996039581</v>
          </cell>
        </row>
        <row r="71">
          <cell r="N71">
            <v>121090.9262866326</v>
          </cell>
        </row>
        <row r="72">
          <cell r="N72">
            <v>4585.1865444224395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NSP Data Inputs 2012-15"/>
      <sheetName val="Data 2006-08"/>
      <sheetName val="Data 2009-11"/>
      <sheetName val="Data 2009-15 (Real $2008)"/>
      <sheetName val="Tariff Compliance"/>
      <sheetName val="AMI Building Blocks 2009-15"/>
      <sheetName val="AMI Tax Depn 2009-15"/>
      <sheetName val="AMI RAB 2009-15"/>
      <sheetName val="Offset of Costs and Rev 2006-08"/>
      <sheetName val="IMRO Decision 2006-10"/>
    </sheetNames>
    <sheetDataSet>
      <sheetData sheetId="0" refreshError="1"/>
      <sheetData sheetId="1" refreshError="1"/>
      <sheetData sheetId="2">
        <row r="84">
          <cell r="D84">
            <v>0</v>
          </cell>
          <cell r="E84">
            <v>0</v>
          </cell>
          <cell r="F84">
            <v>0</v>
          </cell>
        </row>
        <row r="85">
          <cell r="D85">
            <v>332599.15000000002</v>
          </cell>
          <cell r="E85">
            <v>1661921.6560751181</v>
          </cell>
          <cell r="F85">
            <v>6813649.1338538202</v>
          </cell>
        </row>
        <row r="86">
          <cell r="D86">
            <v>0</v>
          </cell>
          <cell r="E86">
            <v>0</v>
          </cell>
          <cell r="F86">
            <v>167727.85031276822</v>
          </cell>
        </row>
        <row r="87">
          <cell r="D87">
            <v>0</v>
          </cell>
          <cell r="E87">
            <v>0</v>
          </cell>
          <cell r="F87">
            <v>0</v>
          </cell>
        </row>
        <row r="88">
          <cell r="D88">
            <v>332599.15000000002</v>
          </cell>
          <cell r="E88">
            <v>1661921.6560751181</v>
          </cell>
          <cell r="F88">
            <v>6981376.9841665886</v>
          </cell>
        </row>
        <row r="115">
          <cell r="D115">
            <v>490154.30347736203</v>
          </cell>
          <cell r="E115">
            <v>3375498.7300711046</v>
          </cell>
          <cell r="F115">
            <v>4429652.4868221348</v>
          </cell>
        </row>
      </sheetData>
      <sheetData sheetId="3">
        <row r="10">
          <cell r="D10">
            <v>1468615.4141471654</v>
          </cell>
          <cell r="E10">
            <v>1304832.0340102196</v>
          </cell>
          <cell r="F10">
            <v>115969.86000000002</v>
          </cell>
        </row>
        <row r="11">
          <cell r="D11">
            <v>618842.83315334772</v>
          </cell>
          <cell r="E11">
            <v>1131573.3510638534</v>
          </cell>
          <cell r="F11">
            <v>272171.59999999998</v>
          </cell>
        </row>
        <row r="12">
          <cell r="D12">
            <v>1194118.8600000001</v>
          </cell>
          <cell r="E12">
            <v>24419109.440000001</v>
          </cell>
          <cell r="F12">
            <v>39064217.97794871</v>
          </cell>
        </row>
        <row r="13">
          <cell r="D13">
            <v>13010286.379999999</v>
          </cell>
          <cell r="E13">
            <v>11888655.5</v>
          </cell>
          <cell r="F13">
            <v>6194914.0899999999</v>
          </cell>
        </row>
        <row r="14">
          <cell r="D14">
            <v>496679.74</v>
          </cell>
          <cell r="E14">
            <v>1581806.02</v>
          </cell>
          <cell r="F14">
            <v>948182.41999999993</v>
          </cell>
        </row>
        <row r="15">
          <cell r="D15">
            <v>0</v>
          </cell>
          <cell r="E15">
            <v>0</v>
          </cell>
          <cell r="F15">
            <v>90958.91</v>
          </cell>
        </row>
        <row r="16">
          <cell r="D16">
            <v>16788543.22730051</v>
          </cell>
          <cell r="E16">
            <v>40325976.34507408</v>
          </cell>
          <cell r="F16">
            <v>46686414.857948706</v>
          </cell>
        </row>
        <row r="55">
          <cell r="D55">
            <v>12186311.267134894</v>
          </cell>
          <cell r="E55">
            <v>10053825.672141695</v>
          </cell>
          <cell r="F55">
            <v>13888721.791800356</v>
          </cell>
        </row>
      </sheetData>
      <sheetData sheetId="4">
        <row r="8">
          <cell r="G8" t="str">
            <v>Real 2008 $</v>
          </cell>
        </row>
        <row r="10">
          <cell r="G10">
            <v>24537.930724637685</v>
          </cell>
          <cell r="H10">
            <v>3322.3811603543318</v>
          </cell>
          <cell r="I10">
            <v>0</v>
          </cell>
          <cell r="J10">
            <v>0</v>
          </cell>
        </row>
        <row r="11">
          <cell r="G11">
            <v>41363.233623188404</v>
          </cell>
          <cell r="H11">
            <v>5376.2558406505832</v>
          </cell>
          <cell r="I11">
            <v>0</v>
          </cell>
          <cell r="J11">
            <v>0</v>
          </cell>
        </row>
        <row r="12">
          <cell r="G12">
            <v>31452611.16099833</v>
          </cell>
          <cell r="H12">
            <v>24394402.107402679</v>
          </cell>
          <cell r="I12">
            <v>2206920.4052888872</v>
          </cell>
          <cell r="J12">
            <v>2628790.7289832816</v>
          </cell>
        </row>
        <row r="13">
          <cell r="G13">
            <v>5562511.7431884063</v>
          </cell>
          <cell r="H13">
            <v>3911789.5896755331</v>
          </cell>
          <cell r="I13">
            <v>2955166.3716720711</v>
          </cell>
          <cell r="J13">
            <v>2177010.526317195</v>
          </cell>
        </row>
        <row r="14">
          <cell r="G14">
            <v>2069782.561760125</v>
          </cell>
          <cell r="H14">
            <v>195777.40355400115</v>
          </cell>
          <cell r="I14">
            <v>114646.65425192448</v>
          </cell>
          <cell r="J14">
            <v>77686.292298765446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G16">
            <v>39150806.630294688</v>
          </cell>
          <cell r="H16">
            <v>28510667.737633217</v>
          </cell>
          <cell r="I16">
            <v>5276733.4312128825</v>
          </cell>
          <cell r="J16">
            <v>4883487.547599243</v>
          </cell>
        </row>
        <row r="55">
          <cell r="G55">
            <v>10335518.533711694</v>
          </cell>
          <cell r="H55">
            <v>8565123.7782416325</v>
          </cell>
          <cell r="I55">
            <v>8283232.0726590864</v>
          </cell>
          <cell r="J55">
            <v>8028475.596153615</v>
          </cell>
        </row>
      </sheetData>
      <sheetData sheetId="5">
        <row r="70">
          <cell r="N70">
            <v>264017.1719894663</v>
          </cell>
        </row>
        <row r="71">
          <cell r="N71">
            <v>55417.690067014613</v>
          </cell>
        </row>
        <row r="72">
          <cell r="N72">
            <v>2465.8184743649595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NSP Data Inputs 2012-15"/>
      <sheetName val="Data 2006-08"/>
      <sheetName val="Data 2009-11"/>
      <sheetName val="Data 2009-15 (Real $2008)"/>
      <sheetName val="Tariff Compliance"/>
      <sheetName val="AMI Building Blocks 2009-15"/>
      <sheetName val="AMI Tax Depn 2009-15"/>
      <sheetName val="AMI RAB 2009-15"/>
      <sheetName val="Offset of Costs and Rev 2006-08"/>
      <sheetName val="IMRO Decision 2006-10"/>
    </sheetNames>
    <sheetDataSet>
      <sheetData sheetId="0" refreshError="1"/>
      <sheetData sheetId="1" refreshError="1"/>
      <sheetData sheetId="2">
        <row r="84">
          <cell r="D84">
            <v>0</v>
          </cell>
          <cell r="E84">
            <v>0</v>
          </cell>
          <cell r="F84">
            <v>0</v>
          </cell>
        </row>
        <row r="85">
          <cell r="D85">
            <v>0</v>
          </cell>
          <cell r="E85">
            <v>3778690.47</v>
          </cell>
          <cell r="F85">
            <v>10033258.379999999</v>
          </cell>
        </row>
        <row r="86">
          <cell r="D86">
            <v>0</v>
          </cell>
          <cell r="E86">
            <v>0</v>
          </cell>
          <cell r="F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</row>
        <row r="88">
          <cell r="D88">
            <v>0</v>
          </cell>
          <cell r="E88">
            <v>3778690.47</v>
          </cell>
          <cell r="F88">
            <v>10033258.379999999</v>
          </cell>
        </row>
        <row r="115">
          <cell r="D115">
            <v>1027698.05</v>
          </cell>
          <cell r="E115">
            <v>3360278.7199999997</v>
          </cell>
          <cell r="F115">
            <v>8008236.8345795637</v>
          </cell>
        </row>
      </sheetData>
      <sheetData sheetId="3">
        <row r="16">
          <cell r="D16">
            <v>38593720.435499437</v>
          </cell>
          <cell r="E16">
            <v>88848084.033738032</v>
          </cell>
          <cell r="F16">
            <v>112694436.1680361</v>
          </cell>
        </row>
        <row r="55">
          <cell r="D55">
            <v>27133020.450744912</v>
          </cell>
          <cell r="E55">
            <v>39809474.16262313</v>
          </cell>
          <cell r="F55">
            <v>42811168.404355973</v>
          </cell>
        </row>
      </sheetData>
      <sheetData sheetId="4">
        <row r="8">
          <cell r="G8" t="str">
            <v>Real 2008 $</v>
          </cell>
        </row>
        <row r="16">
          <cell r="G16">
            <v>124509311.98456895</v>
          </cell>
          <cell r="H16">
            <v>115212962.47004585</v>
          </cell>
          <cell r="I16">
            <v>14851125.954013415</v>
          </cell>
          <cell r="J16">
            <v>15629912.101332271</v>
          </cell>
        </row>
        <row r="55">
          <cell r="G55">
            <v>35531157.247911997</v>
          </cell>
          <cell r="H55">
            <v>34225006.087447591</v>
          </cell>
          <cell r="I55">
            <v>26669425.532664169</v>
          </cell>
          <cell r="J55">
            <v>24648352.217434742</v>
          </cell>
        </row>
      </sheetData>
      <sheetData sheetId="5">
        <row r="56">
          <cell r="N56">
            <v>406120.02995804162</v>
          </cell>
        </row>
        <row r="57">
          <cell r="N57">
            <v>157702.89891689076</v>
          </cell>
        </row>
        <row r="58">
          <cell r="N58">
            <v>85357.055867229894</v>
          </cell>
        </row>
        <row r="59">
          <cell r="N59">
            <v>42316.309334747828</v>
          </cell>
        </row>
        <row r="60">
          <cell r="N60">
            <v>3864.6927280900645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NSP Data Inputs 2012-15"/>
      <sheetName val="Data 2006-08"/>
      <sheetName val="Data 2009-11"/>
      <sheetName val="Data 2009-15 (Real $2008)"/>
      <sheetName val="Tariff Compliance"/>
      <sheetName val="AMI Building Blocks 2009-15"/>
      <sheetName val="AMI Tax Depn 2009-15"/>
      <sheetName val="AMI RAB 2009-15"/>
      <sheetName val="Offset of Costs and Rev 2006-08"/>
      <sheetName val="IMRO Decision 2006-10"/>
    </sheetNames>
    <sheetDataSet>
      <sheetData sheetId="0" refreshError="1"/>
      <sheetData sheetId="1" refreshError="1"/>
      <sheetData sheetId="2">
        <row r="84">
          <cell r="D84">
            <v>0</v>
          </cell>
          <cell r="E84">
            <v>0</v>
          </cell>
          <cell r="F84">
            <v>0</v>
          </cell>
        </row>
        <row r="85">
          <cell r="D85">
            <v>0</v>
          </cell>
          <cell r="E85">
            <v>0</v>
          </cell>
          <cell r="F85">
            <v>2905326.44</v>
          </cell>
        </row>
        <row r="86">
          <cell r="D86">
            <v>0</v>
          </cell>
          <cell r="E86">
            <v>0</v>
          </cell>
          <cell r="F86">
            <v>0</v>
          </cell>
        </row>
        <row r="87">
          <cell r="D87">
            <v>0</v>
          </cell>
          <cell r="E87">
            <v>1051789</v>
          </cell>
          <cell r="F87">
            <v>12918736.560000001</v>
          </cell>
        </row>
        <row r="88">
          <cell r="D88">
            <v>0</v>
          </cell>
          <cell r="E88">
            <v>1051789</v>
          </cell>
          <cell r="F88">
            <v>15824063</v>
          </cell>
        </row>
        <row r="115">
          <cell r="D115">
            <v>0</v>
          </cell>
          <cell r="E115">
            <v>0</v>
          </cell>
          <cell r="F115">
            <v>0</v>
          </cell>
        </row>
      </sheetData>
      <sheetData sheetId="3">
        <row r="10">
          <cell r="D10">
            <v>2949525.1749878968</v>
          </cell>
          <cell r="E10">
            <v>1859749</v>
          </cell>
          <cell r="F10">
            <v>1568574.6528388122</v>
          </cell>
        </row>
        <row r="11">
          <cell r="D11">
            <v>870338.00501210347</v>
          </cell>
          <cell r="E11">
            <v>1141834</v>
          </cell>
          <cell r="F11">
            <v>963017.75006437069</v>
          </cell>
        </row>
        <row r="12">
          <cell r="D12">
            <v>4649474.5767002329</v>
          </cell>
          <cell r="E12">
            <v>10378052</v>
          </cell>
          <cell r="F12">
            <v>18304368.381029479</v>
          </cell>
        </row>
        <row r="13">
          <cell r="D13">
            <v>25683196.395000003</v>
          </cell>
          <cell r="E13">
            <v>5083617</v>
          </cell>
          <cell r="F13">
            <v>285916.66200000001</v>
          </cell>
        </row>
        <row r="14">
          <cell r="D14">
            <v>135135.01257138891</v>
          </cell>
          <cell r="E14">
            <v>346256</v>
          </cell>
          <cell r="F14">
            <v>1190171.4880017799</v>
          </cell>
        </row>
        <row r="15">
          <cell r="D15">
            <v>30147880.21572838</v>
          </cell>
          <cell r="E15">
            <v>20836177</v>
          </cell>
          <cell r="F15">
            <v>6750617</v>
          </cell>
        </row>
        <row r="16">
          <cell r="D16">
            <v>64435549.380000003</v>
          </cell>
          <cell r="E16">
            <v>39645685</v>
          </cell>
          <cell r="F16">
            <v>29062665.933934443</v>
          </cell>
        </row>
        <row r="55">
          <cell r="D55">
            <v>8437513.7038626671</v>
          </cell>
          <cell r="E55">
            <v>10167825</v>
          </cell>
          <cell r="F55">
            <v>16811908.977192648</v>
          </cell>
        </row>
      </sheetData>
      <sheetData sheetId="4">
        <row r="8">
          <cell r="G8" t="str">
            <v>Real 2008 $</v>
          </cell>
        </row>
        <row r="10">
          <cell r="G10">
            <v>65484.034244556715</v>
          </cell>
          <cell r="H10">
            <v>40578.260869565223</v>
          </cell>
          <cell r="I10">
            <v>0</v>
          </cell>
          <cell r="J10">
            <v>0</v>
          </cell>
        </row>
        <row r="11">
          <cell r="G11">
            <v>642013.57285127265</v>
          </cell>
          <cell r="H11">
            <v>0</v>
          </cell>
          <cell r="I11">
            <v>0</v>
          </cell>
          <cell r="J11">
            <v>0</v>
          </cell>
        </row>
        <row r="12">
          <cell r="G12">
            <v>20987761.62611977</v>
          </cell>
          <cell r="H12">
            <v>31403010.594121896</v>
          </cell>
          <cell r="I12">
            <v>4029559.5293499567</v>
          </cell>
          <cell r="J12">
            <v>733849.37377475749</v>
          </cell>
        </row>
        <row r="13">
          <cell r="G13">
            <v>441208.75634492759</v>
          </cell>
          <cell r="H13">
            <v>966593.17551079043</v>
          </cell>
          <cell r="I13">
            <v>3409563.298968114</v>
          </cell>
          <cell r="J13">
            <v>3043433.8984343964</v>
          </cell>
        </row>
        <row r="14">
          <cell r="G14">
            <v>1505978.2498434766</v>
          </cell>
          <cell r="H14">
            <v>3269994.7717945627</v>
          </cell>
          <cell r="I14">
            <v>964460.66228234337</v>
          </cell>
          <cell r="J14">
            <v>404656.72395024291</v>
          </cell>
        </row>
        <row r="15">
          <cell r="G15">
            <v>2433386.8337759743</v>
          </cell>
          <cell r="H15">
            <v>-662876.9905943207</v>
          </cell>
          <cell r="I15">
            <v>0</v>
          </cell>
          <cell r="J15">
            <v>0</v>
          </cell>
        </row>
        <row r="16">
          <cell r="G16">
            <v>26075833.073179983</v>
          </cell>
          <cell r="H16">
            <v>35017299.811702497</v>
          </cell>
          <cell r="I16">
            <v>8403583.4906004146</v>
          </cell>
          <cell r="J16">
            <v>4181939.9961593971</v>
          </cell>
        </row>
        <row r="55">
          <cell r="G55">
            <v>17735021.53623189</v>
          </cell>
          <cell r="H55">
            <v>17454365.327060916</v>
          </cell>
          <cell r="I55">
            <v>15670131.399649264</v>
          </cell>
          <cell r="J55">
            <v>14243452.142032713</v>
          </cell>
        </row>
      </sheetData>
      <sheetData sheetId="5">
        <row r="50">
          <cell r="N50">
            <v>256828.86434831121</v>
          </cell>
        </row>
        <row r="51">
          <cell r="N51">
            <v>31402.192107015238</v>
          </cell>
        </row>
        <row r="52">
          <cell r="N52">
            <v>0</v>
          </cell>
        </row>
        <row r="53">
          <cell r="N53">
            <v>33236.744595458455</v>
          </cell>
        </row>
        <row r="54">
          <cell r="N54">
            <v>0</v>
          </cell>
        </row>
        <row r="55">
          <cell r="N55">
            <v>2322.3017115915122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NSP Data Inputs 2012-15"/>
      <sheetName val="Data 2009-15 (Real $2008)"/>
      <sheetName val="Tariff Compliance"/>
      <sheetName val="AMI Building Blocks 2009-15"/>
      <sheetName val="AMI Tax Depn 2009-15"/>
      <sheetName val="AMI RAB 2009-15"/>
      <sheetName val="Offset of Costs and Rev 2006-08"/>
      <sheetName val="IMRO Decision 2006-10"/>
      <sheetName val="Data 2006-08"/>
      <sheetName val="Data 2009-11"/>
    </sheetNames>
    <sheetDataSet>
      <sheetData sheetId="0"/>
      <sheetData sheetId="1">
        <row r="10">
          <cell r="G10">
            <v>829899.98999999976</v>
          </cell>
          <cell r="H10">
            <v>0</v>
          </cell>
          <cell r="I10">
            <v>0</v>
          </cell>
          <cell r="J10">
            <v>0</v>
          </cell>
        </row>
        <row r="11">
          <cell r="G11">
            <v>1293502.99</v>
          </cell>
          <cell r="H11">
            <v>0</v>
          </cell>
          <cell r="I11">
            <v>0</v>
          </cell>
          <cell r="J11">
            <v>0</v>
          </cell>
        </row>
        <row r="12">
          <cell r="G12">
            <v>49728099.620000005</v>
          </cell>
          <cell r="H12">
            <v>65015722.418191411</v>
          </cell>
          <cell r="I12">
            <v>27316331.460950464</v>
          </cell>
          <cell r="J12">
            <v>998786.50416942593</v>
          </cell>
        </row>
        <row r="13">
          <cell r="G13">
            <v>7974074.9500000011</v>
          </cell>
          <cell r="H13">
            <v>1491827.9250000003</v>
          </cell>
          <cell r="I13">
            <v>6725112.784429268</v>
          </cell>
          <cell r="J13">
            <v>2683935.759920124</v>
          </cell>
        </row>
        <row r="14">
          <cell r="G14">
            <v>418838.68000000005</v>
          </cell>
          <cell r="H14">
            <v>2057154.6366604585</v>
          </cell>
          <cell r="I14">
            <v>487154.17443824909</v>
          </cell>
          <cell r="J14">
            <v>473814.8308641726</v>
          </cell>
        </row>
        <row r="15">
          <cell r="G15">
            <v>2706937.7899999996</v>
          </cell>
          <cell r="H15">
            <v>9946261.1282666661</v>
          </cell>
          <cell r="I15">
            <v>4546847.4159489339</v>
          </cell>
          <cell r="J15">
            <v>0</v>
          </cell>
        </row>
        <row r="16">
          <cell r="G16">
            <v>62951354.020000003</v>
          </cell>
          <cell r="H16">
            <v>78510966.108118534</v>
          </cell>
          <cell r="I16">
            <v>39075445.835766912</v>
          </cell>
          <cell r="J16">
            <v>4156537.0949537223</v>
          </cell>
        </row>
        <row r="55">
          <cell r="G55">
            <v>28992776.890000001</v>
          </cell>
          <cell r="H55">
            <v>25671467.070630923</v>
          </cell>
          <cell r="I55">
            <v>23033592.454973835</v>
          </cell>
          <cell r="J55">
            <v>23277210.402896699</v>
          </cell>
        </row>
        <row r="92">
          <cell r="I92">
            <v>142.64246584211381</v>
          </cell>
          <cell r="J92">
            <v>175.17400058564286</v>
          </cell>
          <cell r="O92">
            <v>492623</v>
          </cell>
          <cell r="P92">
            <v>496773</v>
          </cell>
          <cell r="Q92">
            <v>500757</v>
          </cell>
        </row>
        <row r="93">
          <cell r="I93">
            <v>142.64246584211381</v>
          </cell>
          <cell r="J93">
            <v>175.17400058564286</v>
          </cell>
          <cell r="O93">
            <v>72851</v>
          </cell>
          <cell r="P93">
            <v>73464</v>
          </cell>
          <cell r="Q93">
            <v>74053</v>
          </cell>
        </row>
        <row r="94">
          <cell r="O94">
            <v>0</v>
          </cell>
          <cell r="P94">
            <v>0</v>
          </cell>
          <cell r="Q94">
            <v>0</v>
          </cell>
        </row>
        <row r="95">
          <cell r="I95">
            <v>160.86762675138084</v>
          </cell>
          <cell r="J95">
            <v>197.55565480723445</v>
          </cell>
          <cell r="O95">
            <v>90630</v>
          </cell>
          <cell r="P95">
            <v>91394</v>
          </cell>
          <cell r="Q95">
            <v>92126</v>
          </cell>
        </row>
        <row r="96">
          <cell r="O96">
            <v>0</v>
          </cell>
          <cell r="P96">
            <v>0</v>
          </cell>
          <cell r="Q96">
            <v>0</v>
          </cell>
        </row>
        <row r="97">
          <cell r="I97">
            <v>171.59832896898664</v>
          </cell>
          <cell r="J97">
            <v>210.73363813396591</v>
          </cell>
          <cell r="O97">
            <v>2764</v>
          </cell>
          <cell r="P97">
            <v>2787</v>
          </cell>
          <cell r="Q97">
            <v>2809</v>
          </cell>
        </row>
      </sheetData>
      <sheetData sheetId="2">
        <row r="60">
          <cell r="D60">
            <v>18744172.440000001</v>
          </cell>
          <cell r="E60">
            <v>45994696</v>
          </cell>
          <cell r="F60">
            <v>61289216.629999898</v>
          </cell>
          <cell r="G60">
            <v>70848144.179999992</v>
          </cell>
        </row>
        <row r="92">
          <cell r="H92">
            <v>124.45</v>
          </cell>
          <cell r="O92">
            <v>492623</v>
          </cell>
        </row>
        <row r="93">
          <cell r="I93">
            <v>142.64246584211381</v>
          </cell>
          <cell r="O93">
            <v>72851</v>
          </cell>
        </row>
        <row r="95">
          <cell r="H95">
            <v>140.35</v>
          </cell>
          <cell r="O95">
            <v>90630</v>
          </cell>
        </row>
        <row r="97">
          <cell r="H97">
            <v>149.71</v>
          </cell>
          <cell r="O97">
            <v>2764</v>
          </cell>
        </row>
      </sheetData>
      <sheetData sheetId="3"/>
      <sheetData sheetId="4"/>
      <sheetData sheetId="5"/>
      <sheetData sheetId="6"/>
      <sheetData sheetId="7"/>
      <sheetData sheetId="8">
        <row r="402">
          <cell r="J402">
            <v>404764</v>
          </cell>
          <cell r="K402">
            <v>408819</v>
          </cell>
          <cell r="L402">
            <v>412708.24790094845</v>
          </cell>
          <cell r="M402">
            <v>416164.9541065204</v>
          </cell>
        </row>
        <row r="403">
          <cell r="J403">
            <v>139041.82093657381</v>
          </cell>
          <cell r="K403">
            <v>140017.8134013041</v>
          </cell>
          <cell r="L403">
            <v>140954.05766923536</v>
          </cell>
          <cell r="M403">
            <v>141786.16347599291</v>
          </cell>
        </row>
        <row r="404">
          <cell r="J404">
            <v>67184.368227622996</v>
          </cell>
          <cell r="K404">
            <v>68811.022335506786</v>
          </cell>
          <cell r="L404">
            <v>70371.429448725539</v>
          </cell>
          <cell r="M404">
            <v>71758.272459988118</v>
          </cell>
        </row>
        <row r="405">
          <cell r="J405">
            <v>2556.0460284528749</v>
          </cell>
        </row>
      </sheetData>
      <sheetData sheetId="9">
        <row r="40">
          <cell r="D40">
            <v>461000</v>
          </cell>
          <cell r="E40">
            <v>404000</v>
          </cell>
          <cell r="F40">
            <v>418000</v>
          </cell>
        </row>
        <row r="41">
          <cell r="D41">
            <v>424569.71921182267</v>
          </cell>
          <cell r="E41">
            <v>394301.21365235752</v>
          </cell>
          <cell r="F41">
            <v>364581.07375087967</v>
          </cell>
        </row>
        <row r="42">
          <cell r="D42">
            <v>885569.71921182261</v>
          </cell>
          <cell r="E42">
            <v>798301.21365235746</v>
          </cell>
          <cell r="F42">
            <v>782581.07375087962</v>
          </cell>
        </row>
        <row r="45">
          <cell r="D45">
            <v>6239647</v>
          </cell>
          <cell r="E45">
            <v>6244802</v>
          </cell>
          <cell r="F45">
            <v>6537381.6775821038</v>
          </cell>
        </row>
        <row r="46">
          <cell r="D46">
            <v>10783.280788177339</v>
          </cell>
          <cell r="E46">
            <v>18896.786347642501</v>
          </cell>
          <cell r="F46">
            <v>7417.9262491203353</v>
          </cell>
        </row>
        <row r="47">
          <cell r="D47">
            <v>0</v>
          </cell>
          <cell r="E47">
            <v>0</v>
          </cell>
          <cell r="F47">
            <v>0</v>
          </cell>
        </row>
        <row r="48">
          <cell r="D48">
            <v>6250430.2807881776</v>
          </cell>
          <cell r="E48">
            <v>6263698.7863476425</v>
          </cell>
          <cell r="F48">
            <v>6544799.6038312241</v>
          </cell>
        </row>
        <row r="50">
          <cell r="D50">
            <v>7136000</v>
          </cell>
          <cell r="E50">
            <v>7062000</v>
          </cell>
          <cell r="F50">
            <v>7327380.6775821038</v>
          </cell>
        </row>
        <row r="59">
          <cell r="D59">
            <v>625997</v>
          </cell>
          <cell r="E59">
            <v>632620</v>
          </cell>
          <cell r="F59">
            <v>638544</v>
          </cell>
        </row>
        <row r="105">
          <cell r="D105">
            <v>0</v>
          </cell>
          <cell r="E105">
            <v>0</v>
          </cell>
          <cell r="F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</row>
        <row r="107">
          <cell r="D107">
            <v>0</v>
          </cell>
          <cell r="E107">
            <v>990000</v>
          </cell>
          <cell r="F107">
            <v>1010000</v>
          </cell>
        </row>
        <row r="108">
          <cell r="D108">
            <v>0</v>
          </cell>
          <cell r="E108">
            <v>0</v>
          </cell>
          <cell r="F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</row>
      </sheetData>
      <sheetData sheetId="10">
        <row r="55">
          <cell r="D55">
            <v>14023247.5320845</v>
          </cell>
          <cell r="E55">
            <v>16011951</v>
          </cell>
          <cell r="F55">
            <v>27357162.129999992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NSP Data Inputs 2012-15"/>
      <sheetName val="Data 2006-08"/>
      <sheetName val="Data 2009-11"/>
      <sheetName val="Data 2009-15 (Real $2008)"/>
      <sheetName val="Tariff Compliance"/>
      <sheetName val="AMI Building Blocks 2009-15"/>
      <sheetName val="AMI Tax Depn 2009-15"/>
      <sheetName val="AMI RAB 2009-15"/>
      <sheetName val="Offset of Costs and Rev 2006-08"/>
      <sheetName val="IMRO Decision 2006-10"/>
    </sheetNames>
    <sheetDataSet>
      <sheetData sheetId="0"/>
      <sheetData sheetId="1">
        <row r="10">
          <cell r="G10">
            <v>949291.2300000001</v>
          </cell>
          <cell r="H10">
            <v>39119.330790101485</v>
          </cell>
          <cell r="I10">
            <v>0</v>
          </cell>
          <cell r="J10">
            <v>0</v>
          </cell>
        </row>
        <row r="11">
          <cell r="G11">
            <v>160108.47999999998</v>
          </cell>
          <cell r="H11">
            <v>50266.466158505798</v>
          </cell>
          <cell r="I11">
            <v>0</v>
          </cell>
          <cell r="J11">
            <v>0</v>
          </cell>
        </row>
        <row r="12">
          <cell r="G12">
            <v>97462298.309903547</v>
          </cell>
          <cell r="H12">
            <v>65804588.892046392</v>
          </cell>
          <cell r="I12">
            <v>7207991.7673095902</v>
          </cell>
          <cell r="J12">
            <v>7181586.8696489315</v>
          </cell>
        </row>
        <row r="13">
          <cell r="G13">
            <v>9257594.75</v>
          </cell>
          <cell r="H13">
            <v>9022086.7167293243</v>
          </cell>
          <cell r="I13">
            <v>7114832.0691176532</v>
          </cell>
          <cell r="J13">
            <v>5301437.3758418933</v>
          </cell>
        </row>
        <row r="14">
          <cell r="G14">
            <v>11529042.254151428</v>
          </cell>
          <cell r="H14">
            <v>8366816.1912810458</v>
          </cell>
          <cell r="I14">
            <v>2300080.3630929971</v>
          </cell>
          <cell r="J14">
            <v>1085610.0114067115</v>
          </cell>
        </row>
        <row r="15">
          <cell r="G15">
            <v>174723.79</v>
          </cell>
          <cell r="H15">
            <v>123220.28133821014</v>
          </cell>
          <cell r="I15">
            <v>123220.28133821014</v>
          </cell>
          <cell r="J15">
            <v>132844.15995985043</v>
          </cell>
        </row>
        <row r="16">
          <cell r="G16">
            <v>119533058.81405498</v>
          </cell>
          <cell r="H16">
            <v>83406097.878343582</v>
          </cell>
          <cell r="I16">
            <v>16746124.480858451</v>
          </cell>
          <cell r="J16">
            <v>13701478.416857388</v>
          </cell>
        </row>
        <row r="55">
          <cell r="G55">
            <v>22519258.547136702</v>
          </cell>
        </row>
        <row r="112">
          <cell r="H112">
            <v>127.75</v>
          </cell>
          <cell r="I112">
            <v>118.52368815834963</v>
          </cell>
          <cell r="J112">
            <v>118.52368815834963</v>
          </cell>
          <cell r="O112">
            <v>617598.49951628468</v>
          </cell>
          <cell r="P112">
            <v>627651.41215236764</v>
          </cell>
          <cell r="Q112">
            <v>637222.32996039581</v>
          </cell>
        </row>
        <row r="113">
          <cell r="H113">
            <v>168.5</v>
          </cell>
          <cell r="I113">
            <v>156.33065717950618</v>
          </cell>
          <cell r="J113">
            <v>156.33065717950618</v>
          </cell>
          <cell r="O113">
            <v>118144.14401795466</v>
          </cell>
          <cell r="P113">
            <v>119645.55101336956</v>
          </cell>
          <cell r="Q113">
            <v>121090.9262866326</v>
          </cell>
        </row>
        <row r="114">
          <cell r="H114">
            <v>223.27</v>
          </cell>
          <cell r="I114">
            <v>207.14507910070233</v>
          </cell>
          <cell r="J114">
            <v>207.14507910070233</v>
          </cell>
          <cell r="O114">
            <v>4336.3195815169502</v>
          </cell>
          <cell r="P114">
            <v>4485.4476854641198</v>
          </cell>
          <cell r="Q114">
            <v>4585.1865444224395</v>
          </cell>
        </row>
      </sheetData>
      <sheetData sheetId="2">
        <row r="40">
          <cell r="D40">
            <v>845937.06489649508</v>
          </cell>
          <cell r="E40">
            <v>996010.34727968555</v>
          </cell>
          <cell r="F40">
            <v>707136.82785838749</v>
          </cell>
        </row>
        <row r="41">
          <cell r="D41">
            <v>1239098.503989053</v>
          </cell>
          <cell r="E41">
            <v>1212055.5811555262</v>
          </cell>
          <cell r="F41">
            <v>884890.27122668817</v>
          </cell>
        </row>
        <row r="42">
          <cell r="D42">
            <v>2085035.568885548</v>
          </cell>
          <cell r="E42">
            <v>2208065.928435212</v>
          </cell>
          <cell r="F42">
            <v>1592027.0990850758</v>
          </cell>
        </row>
        <row r="45">
          <cell r="D45">
            <v>4990149.8962514158</v>
          </cell>
          <cell r="E45">
            <v>4950865.0806182912</v>
          </cell>
          <cell r="F45">
            <v>5341167.6142753046</v>
          </cell>
        </row>
        <row r="46">
          <cell r="D46">
            <v>239142.0949747758</v>
          </cell>
          <cell r="E46">
            <v>207431.66436038926</v>
          </cell>
          <cell r="F46">
            <v>334398.38757395191</v>
          </cell>
        </row>
        <row r="47">
          <cell r="D47">
            <v>113778.50490563316</v>
          </cell>
          <cell r="E47">
            <v>97822.167596246582</v>
          </cell>
          <cell r="F47">
            <v>39422.778339117649</v>
          </cell>
        </row>
        <row r="48">
          <cell r="D48">
            <v>5343070.4961318243</v>
          </cell>
          <cell r="E48">
            <v>5256118.9125749264</v>
          </cell>
          <cell r="F48">
            <v>5714988.7801883742</v>
          </cell>
        </row>
        <row r="50">
          <cell r="D50">
            <v>7428106.0650173724</v>
          </cell>
          <cell r="E50">
            <v>7464184.8410101384</v>
          </cell>
          <cell r="F50">
            <v>7307015.87927345</v>
          </cell>
        </row>
        <row r="105">
          <cell r="D105">
            <v>0</v>
          </cell>
          <cell r="E105">
            <v>0</v>
          </cell>
          <cell r="F105">
            <v>0</v>
          </cell>
        </row>
        <row r="106">
          <cell r="D106">
            <v>0</v>
          </cell>
          <cell r="E106">
            <v>499385.93479999999</v>
          </cell>
          <cell r="F106">
            <v>1535317.135</v>
          </cell>
        </row>
        <row r="107">
          <cell r="D107">
            <v>60639.99</v>
          </cell>
          <cell r="E107">
            <v>1664894.4995230739</v>
          </cell>
          <cell r="F107">
            <v>2447.6852999999956</v>
          </cell>
        </row>
        <row r="108">
          <cell r="D108">
            <v>0</v>
          </cell>
          <cell r="E108">
            <v>0</v>
          </cell>
          <cell r="F108">
            <v>0</v>
          </cell>
        </row>
        <row r="109">
          <cell r="D109">
            <v>1213000</v>
          </cell>
          <cell r="E109">
            <v>3501090.9819832309</v>
          </cell>
          <cell r="F109">
            <v>7560461.2647709977</v>
          </cell>
        </row>
        <row r="110">
          <cell r="D110">
            <v>0</v>
          </cell>
          <cell r="E110">
            <v>0</v>
          </cell>
          <cell r="F110">
            <v>0</v>
          </cell>
        </row>
        <row r="111">
          <cell r="D111">
            <v>255024.31979254476</v>
          </cell>
          <cell r="E111">
            <v>192338.65197024439</v>
          </cell>
          <cell r="F111">
            <v>472803.03936028399</v>
          </cell>
        </row>
        <row r="112">
          <cell r="D112">
            <v>0</v>
          </cell>
          <cell r="E112">
            <v>0</v>
          </cell>
          <cell r="F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</row>
        <row r="218">
          <cell r="D218">
            <v>860111</v>
          </cell>
          <cell r="E218">
            <v>867702</v>
          </cell>
          <cell r="F218">
            <v>852843</v>
          </cell>
        </row>
      </sheetData>
      <sheetData sheetId="3">
        <row r="55">
          <cell r="D55">
            <v>24814068.844235312</v>
          </cell>
          <cell r="E55">
            <v>19953460.2551184</v>
          </cell>
          <cell r="F55">
            <v>26822517.64150586</v>
          </cell>
        </row>
      </sheetData>
      <sheetData sheetId="4">
        <row r="60">
          <cell r="D60">
            <v>33138971.770000003</v>
          </cell>
          <cell r="E60">
            <v>71092652.63000001</v>
          </cell>
          <cell r="F60">
            <v>72026210.274123311</v>
          </cell>
          <cell r="G60">
            <v>79301450.791750014</v>
          </cell>
        </row>
      </sheetData>
      <sheetData sheetId="5"/>
      <sheetData sheetId="6"/>
      <sheetData sheetId="7"/>
      <sheetData sheetId="8"/>
      <sheetData sheetId="9"/>
      <sheetData sheetId="10">
        <row r="402">
          <cell r="J402">
            <v>319079.32803200395</v>
          </cell>
          <cell r="K402">
            <v>324516.93504135334</v>
          </cell>
          <cell r="L402">
            <v>330200.72100765217</v>
          </cell>
          <cell r="M402">
            <v>335492.35050653736</v>
          </cell>
        </row>
        <row r="403">
          <cell r="J403">
            <v>220925.01356011708</v>
          </cell>
          <cell r="K403">
            <v>224689.91870042938</v>
          </cell>
          <cell r="L403">
            <v>228625.27389696357</v>
          </cell>
          <cell r="M403">
            <v>232289.10673128325</v>
          </cell>
        </row>
        <row r="404">
          <cell r="J404">
            <v>100712.9169065477</v>
          </cell>
          <cell r="K404">
            <v>102429.22133241178</v>
          </cell>
          <cell r="L404">
            <v>104223.22869499793</v>
          </cell>
          <cell r="M404">
            <v>105893.45736605745</v>
          </cell>
        </row>
        <row r="405">
          <cell r="J405">
            <v>4953.1946448121762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NSP Data Inputs 2012-15"/>
      <sheetName val="Data 2006-08"/>
      <sheetName val="Data 2009-11"/>
      <sheetName val="Data 2009-15 (Real $2008)"/>
      <sheetName val="Tariff Compliance"/>
      <sheetName val="AMI Building Blocks 2009-15"/>
      <sheetName val="AMI Tax Depn 2009-15"/>
      <sheetName val="AMI RAB 2009-15"/>
      <sheetName val="Offset of Costs and Rev 2006-08"/>
      <sheetName val="IMRO Decision 2006-10"/>
    </sheetNames>
    <sheetDataSet>
      <sheetData sheetId="0" refreshError="1"/>
      <sheetData sheetId="1" refreshError="1">
        <row r="10">
          <cell r="G10">
            <v>27756.020000000004</v>
          </cell>
          <cell r="H10">
            <v>3833.4159707219187</v>
          </cell>
          <cell r="I10">
            <v>0</v>
          </cell>
          <cell r="J10">
            <v>0</v>
          </cell>
        </row>
        <row r="11">
          <cell r="G11">
            <v>46787.92</v>
          </cell>
          <cell r="H11">
            <v>6203.2090863526764</v>
          </cell>
          <cell r="I11">
            <v>0</v>
          </cell>
          <cell r="J11">
            <v>0</v>
          </cell>
        </row>
        <row r="12">
          <cell r="G12">
            <v>35577543.772276796</v>
          </cell>
          <cell r="H12">
            <v>28146647.275340497</v>
          </cell>
          <cell r="I12">
            <v>2546379.6955928579</v>
          </cell>
          <cell r="J12">
            <v>3033140.3525944292</v>
          </cell>
        </row>
        <row r="13">
          <cell r="G13">
            <v>6292021.4800000004</v>
          </cell>
          <cell r="H13">
            <v>4513484.7458521761</v>
          </cell>
          <cell r="I13">
            <v>3409717.7351258188</v>
          </cell>
          <cell r="J13">
            <v>2511869.2038104469</v>
          </cell>
        </row>
        <row r="14">
          <cell r="G14">
            <v>2341229.455105715</v>
          </cell>
          <cell r="H14">
            <v>225891.06705936705</v>
          </cell>
          <cell r="I14">
            <v>132281.12434645815</v>
          </cell>
          <cell r="J14">
            <v>89635.673702320739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G16">
            <v>44285338.647382505</v>
          </cell>
          <cell r="H16">
            <v>32896059.713309117</v>
          </cell>
          <cell r="I16">
            <v>6088378.5550651355</v>
          </cell>
          <cell r="J16">
            <v>5634645.2301071966</v>
          </cell>
        </row>
        <row r="55">
          <cell r="G55">
            <v>11690996.374198474</v>
          </cell>
          <cell r="H55">
            <v>9882575.3873525523</v>
          </cell>
          <cell r="I55">
            <v>9363427.1185940169</v>
          </cell>
          <cell r="J55">
            <v>9086014.6289051939</v>
          </cell>
        </row>
        <row r="112">
          <cell r="H112">
            <v>127.45</v>
          </cell>
          <cell r="I112">
            <v>119.62776585421916</v>
          </cell>
          <cell r="J112">
            <v>119.62776585421916</v>
          </cell>
          <cell r="O112">
            <v>258020.81658498198</v>
          </cell>
          <cell r="P112">
            <v>260749.44748118613</v>
          </cell>
          <cell r="Q112">
            <v>264017.1719894663</v>
          </cell>
        </row>
        <row r="113">
          <cell r="H113">
            <v>166.57</v>
          </cell>
          <cell r="I113">
            <v>156.34677880217563</v>
          </cell>
          <cell r="J113">
            <v>156.34677880217563</v>
          </cell>
          <cell r="O113">
            <v>53519.354460102288</v>
          </cell>
          <cell r="P113">
            <v>54450.347786078106</v>
          </cell>
          <cell r="Q113">
            <v>55417.690067014613</v>
          </cell>
        </row>
        <row r="114">
          <cell r="H114">
            <v>210.39</v>
          </cell>
          <cell r="I114">
            <v>197.47732960430889</v>
          </cell>
          <cell r="J114">
            <v>197.47732960430889</v>
          </cell>
          <cell r="O114">
            <v>2384.2037111119375</v>
          </cell>
          <cell r="P114">
            <v>2412.0991169586841</v>
          </cell>
          <cell r="Q114">
            <v>2465.8184743649595</v>
          </cell>
        </row>
      </sheetData>
      <sheetData sheetId="2" refreshError="1">
        <row r="40">
          <cell r="D40">
            <v>411755.94</v>
          </cell>
          <cell r="E40">
            <v>315784.24231606495</v>
          </cell>
          <cell r="F40">
            <v>571552.17879175732</v>
          </cell>
        </row>
        <row r="41">
          <cell r="D41">
            <v>1208340.4683129673</v>
          </cell>
          <cell r="E41">
            <v>1109023.7347808881</v>
          </cell>
          <cell r="F41">
            <v>792821.38780093018</v>
          </cell>
        </row>
        <row r="42">
          <cell r="D42">
            <v>1620096.4083129673</v>
          </cell>
          <cell r="E42">
            <v>1424807.977096953</v>
          </cell>
          <cell r="F42">
            <v>1364373.5665926875</v>
          </cell>
        </row>
        <row r="45">
          <cell r="D45">
            <v>2624270.9656425477</v>
          </cell>
          <cell r="E45">
            <v>1817982.1720956855</v>
          </cell>
          <cell r="F45">
            <v>1883108.564998222</v>
          </cell>
        </row>
        <row r="46">
          <cell r="D46">
            <v>138089.61476245304</v>
          </cell>
          <cell r="E46">
            <v>112945.3109408047</v>
          </cell>
          <cell r="F46">
            <v>140797.07530660642</v>
          </cell>
        </row>
        <row r="47">
          <cell r="D47">
            <v>56659.89</v>
          </cell>
          <cell r="E47">
            <v>51308.301870091993</v>
          </cell>
          <cell r="F47">
            <v>39861.573089689482</v>
          </cell>
        </row>
        <row r="48">
          <cell r="D48">
            <v>2819020.4704050007</v>
          </cell>
          <cell r="E48">
            <v>1982235.7849065822</v>
          </cell>
          <cell r="F48">
            <v>2063767.213394518</v>
          </cell>
        </row>
        <row r="50">
          <cell r="D50">
            <v>4439116.8787179682</v>
          </cell>
          <cell r="E50">
            <v>3407043.7620035354</v>
          </cell>
          <cell r="F50">
            <v>3428140.7799872058</v>
          </cell>
        </row>
        <row r="59">
          <cell r="D59">
            <v>323678.33333333331</v>
          </cell>
          <cell r="E59">
            <v>326783.33333333331</v>
          </cell>
          <cell r="F59">
            <v>329388.66666666669</v>
          </cell>
        </row>
        <row r="105">
          <cell r="D105">
            <v>0</v>
          </cell>
          <cell r="E105">
            <v>0</v>
          </cell>
          <cell r="F105">
            <v>0</v>
          </cell>
        </row>
        <row r="106">
          <cell r="D106">
            <v>0</v>
          </cell>
          <cell r="E106">
            <v>443789.3052</v>
          </cell>
          <cell r="F106">
            <v>825053.65500000003</v>
          </cell>
        </row>
        <row r="107">
          <cell r="D107">
            <v>60206</v>
          </cell>
          <cell r="E107">
            <v>741015.39533061057</v>
          </cell>
          <cell r="F107">
            <v>1099.684699999998</v>
          </cell>
        </row>
        <row r="108">
          <cell r="D108">
            <v>0</v>
          </cell>
          <cell r="E108">
            <v>0</v>
          </cell>
          <cell r="F108">
            <v>0</v>
          </cell>
        </row>
        <row r="109">
          <cell r="D109">
            <v>410000</v>
          </cell>
          <cell r="E109">
            <v>2080992.9337937138</v>
          </cell>
          <cell r="F109">
            <v>3391789.6411290001</v>
          </cell>
        </row>
        <row r="110">
          <cell r="D110">
            <v>0</v>
          </cell>
          <cell r="E110">
            <v>0</v>
          </cell>
          <cell r="F110">
            <v>0</v>
          </cell>
        </row>
        <row r="111">
          <cell r="D111">
            <v>19948.303477362031</v>
          </cell>
          <cell r="E111">
            <v>109701.09574678047</v>
          </cell>
          <cell r="F111">
            <v>211709.50599313466</v>
          </cell>
        </row>
        <row r="112">
          <cell r="D112">
            <v>0</v>
          </cell>
          <cell r="E112">
            <v>0</v>
          </cell>
          <cell r="F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</row>
      </sheetData>
      <sheetData sheetId="3" refreshError="1">
        <row r="55">
          <cell r="D55">
            <v>12186311.267134894</v>
          </cell>
          <cell r="E55">
            <v>10053825.672141695</v>
          </cell>
          <cell r="F55">
            <v>13888721.791800356</v>
          </cell>
        </row>
      </sheetData>
      <sheetData sheetId="4" refreshError="1">
        <row r="60">
          <cell r="D60">
            <v>12350974.449999999</v>
          </cell>
          <cell r="E60">
            <v>33035899.330000002</v>
          </cell>
          <cell r="F60">
            <v>29485898.359634101</v>
          </cell>
          <cell r="G60">
            <v>32426866.42625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02">
          <cell r="J402">
            <v>190788.40913789225</v>
          </cell>
          <cell r="K402">
            <v>194787.54222529411</v>
          </cell>
          <cell r="L402">
            <v>197830.36044380936</v>
          </cell>
          <cell r="M402">
            <v>200227.46368838145</v>
          </cell>
        </row>
        <row r="403">
          <cell r="J403">
            <v>38981.453697578661</v>
          </cell>
          <cell r="K403">
            <v>39798.547471678634</v>
          </cell>
          <cell r="L403">
            <v>40420.249167453418</v>
          </cell>
          <cell r="M403">
            <v>40910.019848800563</v>
          </cell>
        </row>
        <row r="404">
          <cell r="J404">
            <v>48621.166827437679</v>
          </cell>
          <cell r="K404">
            <v>49640.319499690209</v>
          </cell>
          <cell r="L404">
            <v>50415.761639474862</v>
          </cell>
          <cell r="M404">
            <v>51026.647579997043</v>
          </cell>
        </row>
        <row r="405">
          <cell r="J405">
            <v>3093.400567019999</v>
          </cell>
          <cell r="K405">
            <v>3158.2416158869469</v>
          </cell>
          <cell r="L405">
            <v>3207.5771894945183</v>
          </cell>
          <cell r="M405">
            <v>3246.4432850265871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81"/>
  <sheetViews>
    <sheetView zoomScale="85" zoomScaleNormal="85" workbookViewId="0">
      <pane ySplit="7" topLeftCell="A41" activePane="bottomLeft" state="frozen"/>
      <selection pane="bottomLeft" activeCell="M5" sqref="M5"/>
    </sheetView>
  </sheetViews>
  <sheetFormatPr defaultRowHeight="15" x14ac:dyDescent="0.25"/>
  <cols>
    <col min="1" max="1" width="15.5703125" style="5" customWidth="1"/>
    <col min="2" max="2" width="52.42578125" style="2" bestFit="1" customWidth="1"/>
    <col min="3" max="3" width="21.140625" style="2" customWidth="1"/>
    <col min="4" max="13" width="13.5703125" style="2" customWidth="1"/>
    <col min="14" max="14" width="13.5703125" style="1" customWidth="1"/>
    <col min="15" max="15" width="17.5703125" style="2" customWidth="1"/>
    <col min="16" max="16" width="16.85546875" style="2" bestFit="1" customWidth="1"/>
    <col min="17" max="16384" width="9.140625" style="2"/>
  </cols>
  <sheetData>
    <row r="1" spans="1:15" x14ac:dyDescent="0.25">
      <c r="A1" s="4"/>
      <c r="C1" s="6"/>
    </row>
    <row r="2" spans="1:15" x14ac:dyDescent="0.25">
      <c r="C2" s="6"/>
      <c r="E2" s="30">
        <f>'[1]Economic Assum'!E4</f>
        <v>2007</v>
      </c>
      <c r="F2" s="30">
        <f>'[1]Economic Assum'!F4</f>
        <v>2008</v>
      </c>
      <c r="G2" s="30">
        <f>'[1]Economic Assum'!G4</f>
        <v>2009</v>
      </c>
      <c r="H2" s="30">
        <f>'[1]Economic Assum'!H4</f>
        <v>2010</v>
      </c>
      <c r="I2" s="30">
        <f>'[1]Economic Assum'!I4</f>
        <v>2011</v>
      </c>
      <c r="J2" s="30">
        <f>'[1]Economic Assum'!J4</f>
        <v>2012</v>
      </c>
      <c r="K2" s="30">
        <f>'[1]Economic Assum'!K4</f>
        <v>2013</v>
      </c>
      <c r="L2" s="30">
        <f>'[1]Economic Assum'!L4</f>
        <v>2014</v>
      </c>
      <c r="M2" s="30">
        <f>'[1]Economic Assum'!M4</f>
        <v>2015</v>
      </c>
    </row>
    <row r="3" spans="1:15" x14ac:dyDescent="0.25">
      <c r="B3" s="6" t="str">
        <f>'[1]Economic Assum'!B6</f>
        <v>CPI</v>
      </c>
      <c r="C3" s="6"/>
      <c r="D3" s="6"/>
      <c r="E3" s="31">
        <f>'[1]Economic Assum'!E6</f>
        <v>3.9385847797062556E-2</v>
      </c>
      <c r="F3" s="31">
        <f>'[1]Economic Assum'!F6</f>
        <v>1.862556197816323E-2</v>
      </c>
      <c r="G3" s="31">
        <f>'[2]Data 2009-15 (Real $2008)'!D144</f>
        <v>4.9810844892812067E-2</v>
      </c>
      <c r="H3" s="31">
        <f>'[2]Data 2009-15 (Real $2008)'!E144</f>
        <v>1.2612612612612484E-2</v>
      </c>
      <c r="I3" s="31">
        <f>'[2]Data 2009-15 (Real $2008)'!F144</f>
        <v>2.7876631079478242E-2</v>
      </c>
      <c r="J3" s="31">
        <f>'[2]Data 2009-15 (Real $2008)'!G144</f>
        <v>3.5199076745527913E-2</v>
      </c>
      <c r="K3" s="31">
        <f>'[2]Data 2009-15 (Real $2008)'!H144</f>
        <v>2.0040080160320661E-2</v>
      </c>
      <c r="L3" s="31">
        <f>'[2]Data 2009-15 (Real $2008)'!I144</f>
        <v>2.47E-2</v>
      </c>
      <c r="M3" s="31">
        <f>'[2]Data 2009-15 (Real $2008)'!J144</f>
        <v>2.47E-2</v>
      </c>
      <c r="N3" s="31"/>
      <c r="O3" s="12"/>
    </row>
    <row r="4" spans="1:15" x14ac:dyDescent="0.25">
      <c r="B4" s="2" t="s">
        <v>19</v>
      </c>
      <c r="D4" s="37"/>
      <c r="E4" s="29">
        <f>F4/(1+F3)</f>
        <v>0.98171500630517017</v>
      </c>
      <c r="F4" s="29">
        <v>1</v>
      </c>
      <c r="G4" s="29">
        <f t="shared" ref="G4:M4" si="0">F4*(1+G3)</f>
        <v>1.0498108448928121</v>
      </c>
      <c r="H4" s="29">
        <f t="shared" si="0"/>
        <v>1.0630517023959645</v>
      </c>
      <c r="I4" s="29">
        <f t="shared" si="0"/>
        <v>1.0926860025220682</v>
      </c>
      <c r="J4" s="29">
        <f t="shared" si="0"/>
        <v>1.1311475409836065</v>
      </c>
      <c r="K4" s="29">
        <f t="shared" si="0"/>
        <v>1.1538158283780675</v>
      </c>
      <c r="L4" s="29">
        <f t="shared" si="0"/>
        <v>1.1823150793390058</v>
      </c>
      <c r="M4" s="29">
        <f t="shared" si="0"/>
        <v>1.2115182617986793</v>
      </c>
      <c r="O4" s="12"/>
    </row>
    <row r="5" spans="1:15" x14ac:dyDescent="0.25">
      <c r="B5" s="6"/>
      <c r="C5" s="6"/>
      <c r="F5" s="32"/>
      <c r="G5" s="32"/>
      <c r="H5" s="32"/>
      <c r="I5" s="32"/>
      <c r="J5" s="32"/>
      <c r="K5" s="32"/>
      <c r="L5" s="32"/>
      <c r="M5" s="32"/>
      <c r="O5" s="12"/>
    </row>
    <row r="6" spans="1:15" x14ac:dyDescent="0.25">
      <c r="B6" s="5"/>
      <c r="C6" s="5"/>
      <c r="G6" s="32"/>
      <c r="H6" s="32"/>
      <c r="I6" s="32"/>
      <c r="J6" s="32"/>
      <c r="K6" s="32"/>
      <c r="L6" s="32"/>
      <c r="M6" s="32"/>
      <c r="O6" s="25"/>
    </row>
    <row r="7" spans="1:15" s="8" customFormat="1" x14ac:dyDescent="0.25">
      <c r="A7" s="7" t="s">
        <v>7</v>
      </c>
      <c r="D7" s="8">
        <v>2006</v>
      </c>
      <c r="E7" s="8">
        <f>D7+1</f>
        <v>2007</v>
      </c>
      <c r="F7" s="8">
        <f t="shared" ref="F7:M7" si="1">E7+1</f>
        <v>2008</v>
      </c>
      <c r="G7" s="8">
        <f t="shared" si="1"/>
        <v>2009</v>
      </c>
      <c r="H7" s="8">
        <f t="shared" si="1"/>
        <v>2010</v>
      </c>
      <c r="I7" s="8">
        <f t="shared" si="1"/>
        <v>2011</v>
      </c>
      <c r="J7" s="8">
        <f t="shared" si="1"/>
        <v>2012</v>
      </c>
      <c r="K7" s="8">
        <f t="shared" si="1"/>
        <v>2013</v>
      </c>
      <c r="L7" s="8">
        <f t="shared" si="1"/>
        <v>2014</v>
      </c>
      <c r="M7" s="8">
        <f t="shared" si="1"/>
        <v>2015</v>
      </c>
      <c r="N7" s="9" t="s">
        <v>6</v>
      </c>
      <c r="O7" s="26"/>
    </row>
    <row r="8" spans="1:15" x14ac:dyDescent="0.25">
      <c r="A8" s="10" t="s">
        <v>8</v>
      </c>
    </row>
    <row r="9" spans="1:15" x14ac:dyDescent="0.25">
      <c r="A9" s="10"/>
      <c r="B9" s="5" t="s">
        <v>13</v>
      </c>
      <c r="C9" s="5"/>
    </row>
    <row r="10" spans="1:15" x14ac:dyDescent="0.25">
      <c r="A10" s="10"/>
      <c r="B10" s="11" t="s">
        <v>2</v>
      </c>
      <c r="C10" s="11"/>
      <c r="D10" s="1">
        <f>'[2]Data 2006-08'!D84</f>
        <v>0</v>
      </c>
      <c r="E10" s="1">
        <f>'[2]Data 2006-08'!E84</f>
        <v>0</v>
      </c>
      <c r="F10" s="1">
        <f>'[2]Data 2006-08'!F84</f>
        <v>0</v>
      </c>
      <c r="G10" s="1"/>
      <c r="H10" s="1"/>
      <c r="I10" s="1"/>
      <c r="J10" s="1"/>
      <c r="K10" s="1"/>
      <c r="L10" s="1"/>
      <c r="M10" s="1"/>
      <c r="N10" s="1">
        <f>SUM(D10:M10)</f>
        <v>0</v>
      </c>
    </row>
    <row r="11" spans="1:15" x14ac:dyDescent="0.25">
      <c r="A11" s="10"/>
      <c r="B11" s="11" t="s">
        <v>0</v>
      </c>
      <c r="C11" s="11"/>
      <c r="D11" s="1"/>
      <c r="E11" s="1"/>
      <c r="F11" s="1"/>
      <c r="G11" s="1">
        <f>'[2]Data 2009-11'!D10</f>
        <v>3869552.5300000003</v>
      </c>
      <c r="H11" s="1">
        <f>'[2]Data 2009-11'!E10</f>
        <v>3588444</v>
      </c>
      <c r="I11" s="1">
        <f>'[2]Data 2009-11'!F10</f>
        <v>4015842.4699999997</v>
      </c>
      <c r="J11" s="1">
        <f>'[2]Data 2009-15 (Real $2008)'!G10*$J$4</f>
        <v>829899.98999999964</v>
      </c>
      <c r="K11" s="1">
        <f>'[2]Data 2009-15 (Real $2008)'!H10*$K$4</f>
        <v>0</v>
      </c>
      <c r="L11" s="1">
        <f>'[2]Data 2009-15 (Real $2008)'!I10*$L$4</f>
        <v>0</v>
      </c>
      <c r="M11" s="1">
        <f>'[2]Data 2009-15 (Real $2008)'!J10*$M$4</f>
        <v>0</v>
      </c>
      <c r="N11" s="1">
        <f t="shared" ref="N11:N19" si="2">SUM(D11:M11)</f>
        <v>12303738.99</v>
      </c>
    </row>
    <row r="12" spans="1:15" x14ac:dyDescent="0.25">
      <c r="A12" s="10"/>
      <c r="B12" s="11" t="s">
        <v>1</v>
      </c>
      <c r="C12" s="11"/>
      <c r="D12" s="1"/>
      <c r="E12" s="1"/>
      <c r="F12" s="1"/>
      <c r="G12" s="1">
        <f>'[2]Data 2009-11'!D11</f>
        <v>0</v>
      </c>
      <c r="H12" s="1">
        <f>'[2]Data 2009-11'!E11</f>
        <v>0</v>
      </c>
      <c r="I12" s="1">
        <f>'[2]Data 2009-11'!F11</f>
        <v>1767573.8999999987</v>
      </c>
      <c r="J12" s="1">
        <f>'[2]Data 2009-15 (Real $2008)'!G11*$J$4</f>
        <v>1293502.9900000002</v>
      </c>
      <c r="K12" s="1">
        <f>'[2]Data 2009-15 (Real $2008)'!H11*$K$4</f>
        <v>0</v>
      </c>
      <c r="L12" s="1">
        <f>'[2]Data 2009-15 (Real $2008)'!I11*$L$4</f>
        <v>0</v>
      </c>
      <c r="M12" s="1">
        <f>'[2]Data 2009-15 (Real $2008)'!J11*$M$4</f>
        <v>0</v>
      </c>
      <c r="N12" s="1">
        <f t="shared" si="2"/>
        <v>3061076.8899999987</v>
      </c>
    </row>
    <row r="13" spans="1:15" x14ac:dyDescent="0.25">
      <c r="A13" s="10"/>
      <c r="B13" s="11" t="s">
        <v>2</v>
      </c>
      <c r="C13" s="11"/>
      <c r="G13" s="1">
        <f>'[2]Data 2009-11'!D12</f>
        <v>6412353.8598686606</v>
      </c>
      <c r="H13" s="1">
        <f>'[2]Data 2009-11'!E12</f>
        <v>20654799</v>
      </c>
      <c r="I13" s="1">
        <f>'[2]Data 2009-11'!F12</f>
        <v>42573902.870000102</v>
      </c>
      <c r="J13" s="1">
        <f>'[2]Data 2009-15 (Real $2008)'!G12*$J$4</f>
        <v>49728099.620000005</v>
      </c>
      <c r="K13" s="1">
        <f>'[2]Data 2009-15 (Real $2008)'!H12*$K$4</f>
        <v>65015722.418191411</v>
      </c>
      <c r="L13" s="1">
        <f>'[2]Data 2009-15 (Real $2008)'!I12*$L$4</f>
        <v>27991044.848035939</v>
      </c>
      <c r="M13" s="1">
        <f>'[2]Data 2009-15 (Real $2008)'!J12*$M$4</f>
        <v>1048735.9071337243</v>
      </c>
      <c r="N13" s="1">
        <f t="shared" si="2"/>
        <v>213424658.52322984</v>
      </c>
    </row>
    <row r="14" spans="1:15" x14ac:dyDescent="0.25">
      <c r="A14" s="10"/>
      <c r="B14" s="11" t="s">
        <v>3</v>
      </c>
      <c r="C14" s="11"/>
      <c r="D14" s="1">
        <f>'[2]Data 2006-08'!D85</f>
        <v>0</v>
      </c>
      <c r="E14" s="1">
        <f>'[2]Data 2006-08'!E85</f>
        <v>0</v>
      </c>
      <c r="F14" s="1">
        <f>'[2]Data 2006-08'!F85</f>
        <v>10137598</v>
      </c>
      <c r="G14" s="1">
        <f>'[2]Data 2009-11'!D13</f>
        <v>63237884.079999901</v>
      </c>
      <c r="H14" s="1">
        <f>'[2]Data 2009-11'!E13</f>
        <v>34423246</v>
      </c>
      <c r="I14" s="1">
        <f>'[2]Data 2009-11'!F13</f>
        <v>8382035.7199999997</v>
      </c>
      <c r="J14" s="1">
        <f>'[2]Data 2009-15 (Real $2008)'!G13*$J$4</f>
        <v>7974074.9500000011</v>
      </c>
      <c r="K14" s="1">
        <f>'[2]Data 2009-15 (Real $2008)'!H13*$K$4</f>
        <v>1491827.9250000003</v>
      </c>
      <c r="L14" s="1">
        <f>'[2]Data 2009-15 (Real $2008)'!I13*$L$4</f>
        <v>6891223.0702046715</v>
      </c>
      <c r="M14" s="1">
        <f>'[2]Data 2009-15 (Real $2008)'!J13*$M$4</f>
        <v>2818159.6288279481</v>
      </c>
      <c r="N14" s="1">
        <f t="shared" si="2"/>
        <v>135356049.37403253</v>
      </c>
    </row>
    <row r="15" spans="1:15" x14ac:dyDescent="0.25">
      <c r="A15" s="10"/>
      <c r="B15" s="11" t="s">
        <v>4</v>
      </c>
      <c r="C15" s="11"/>
      <c r="D15" s="1">
        <f>'[2]Data 2006-08'!D86</f>
        <v>0</v>
      </c>
      <c r="E15" s="1">
        <f>'[2]Data 2006-08'!E86</f>
        <v>0</v>
      </c>
      <c r="F15" s="1">
        <f>'[2]Data 2006-08'!F86</f>
        <v>0</v>
      </c>
      <c r="G15" s="1">
        <f>'[2]Data 2009-11'!D14</f>
        <v>0</v>
      </c>
      <c r="H15" s="1">
        <f>'[2]Data 2009-11'!E14</f>
        <v>0</v>
      </c>
      <c r="I15" s="1">
        <f>'[2]Data 2009-11'!F14</f>
        <v>2276045.69</v>
      </c>
      <c r="J15" s="1">
        <f>'[2]Data 2009-15 (Real $2008)'!G14*$J$4</f>
        <v>418838.68000000005</v>
      </c>
      <c r="K15" s="1">
        <f>'[2]Data 2009-15 (Real $2008)'!H14*$K$4</f>
        <v>2057154.6366604585</v>
      </c>
      <c r="L15" s="1">
        <f>'[2]Data 2009-15 (Real $2008)'!I14*$L$4</f>
        <v>499186.88254687388</v>
      </c>
      <c r="M15" s="1">
        <f>'[2]Data 2009-15 (Real $2008)'!J14*$M$4</f>
        <v>497510.35319902468</v>
      </c>
      <c r="N15" s="1">
        <f t="shared" si="2"/>
        <v>5748736.2424063571</v>
      </c>
    </row>
    <row r="16" spans="1:15" x14ac:dyDescent="0.25">
      <c r="A16" s="10"/>
      <c r="B16" s="11" t="s">
        <v>5</v>
      </c>
      <c r="C16" s="11"/>
      <c r="D16" s="1">
        <f>'[2]Data 2006-08'!D87</f>
        <v>0</v>
      </c>
      <c r="E16" s="1">
        <f>'[2]Data 2006-08'!E87</f>
        <v>6037000</v>
      </c>
      <c r="F16" s="1">
        <f>'[2]Data 2006-08'!F87</f>
        <v>17425658</v>
      </c>
      <c r="G16" s="1">
        <f>'[2]Data 2009-11'!D15</f>
        <v>100958.88</v>
      </c>
      <c r="H16" s="1">
        <f>'[2]Data 2009-11'!E15</f>
        <v>367167</v>
      </c>
      <c r="I16" s="1">
        <f>'[2]Data 2009-11'!F15</f>
        <v>10550230.790000001</v>
      </c>
      <c r="J16" s="1">
        <f>'[2]Data 2009-15 (Real $2008)'!G15*$J$4</f>
        <v>2706937.7899999996</v>
      </c>
      <c r="K16" s="1">
        <f>'[2]Data 2009-15 (Real $2008)'!H15*$K$4</f>
        <v>9946261.1282666661</v>
      </c>
      <c r="L16" s="1">
        <f>'[2]Data 2009-15 (Real $2008)'!I15*$L$4</f>
        <v>4659154.5471228724</v>
      </c>
      <c r="M16" s="1">
        <f>'[2]Data 2009-15 (Real $2008)'!J15*$M$4</f>
        <v>0</v>
      </c>
      <c r="N16" s="1">
        <f t="shared" si="2"/>
        <v>51793368.135389544</v>
      </c>
    </row>
    <row r="17" spans="1:16" x14ac:dyDescent="0.25">
      <c r="A17" s="10"/>
      <c r="B17" s="11" t="s">
        <v>6</v>
      </c>
      <c r="C17" s="11"/>
      <c r="D17" s="1">
        <f>'[2]Data 2006-08'!D88</f>
        <v>0</v>
      </c>
      <c r="E17" s="1">
        <f>'[2]Data 2006-08'!E88</f>
        <v>6037000</v>
      </c>
      <c r="F17" s="1">
        <f>'[2]Data 2006-08'!F88</f>
        <v>27563256</v>
      </c>
      <c r="G17" s="1">
        <f>'[2]Data 2009-11'!D16</f>
        <v>73620749.349868566</v>
      </c>
      <c r="H17" s="1">
        <f>'[2]Data 2009-11'!E16</f>
        <v>59033656</v>
      </c>
      <c r="I17" s="1">
        <f>'[2]Data 2009-11'!F16</f>
        <v>69565631.440000102</v>
      </c>
      <c r="J17" s="1">
        <f>'[2]Data 2009-15 (Real $2008)'!G16*$J$4</f>
        <v>62951354.020000011</v>
      </c>
      <c r="K17" s="1">
        <f>'[2]Data 2009-15 (Real $2008)'!H16*$K$4</f>
        <v>78510966.108118519</v>
      </c>
      <c r="L17" s="1">
        <f>'[2]Data 2009-15 (Real $2008)'!I16*$L$4</f>
        <v>40040609.347910352</v>
      </c>
      <c r="M17" s="1">
        <f>'[2]Data 2009-15 (Real $2008)'!J16*$M$4</f>
        <v>4364405.8891606973</v>
      </c>
      <c r="N17" s="1">
        <f t="shared" si="2"/>
        <v>421687628.15505826</v>
      </c>
      <c r="O17" s="33"/>
      <c r="P17" s="36"/>
    </row>
    <row r="18" spans="1:16" x14ac:dyDescent="0.25">
      <c r="A18" s="10"/>
      <c r="B18" s="12"/>
      <c r="C18" s="12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6" x14ac:dyDescent="0.25">
      <c r="B19" s="12" t="s">
        <v>14</v>
      </c>
      <c r="C19" s="12"/>
      <c r="D19" s="1">
        <f>'[2]Data 2006-08'!D115</f>
        <v>0</v>
      </c>
      <c r="E19" s="1">
        <f>'[2]Data 2006-08'!E115</f>
        <v>990000</v>
      </c>
      <c r="F19" s="1">
        <f>'[2]Data 2006-08'!F115</f>
        <v>1010000</v>
      </c>
      <c r="G19" s="1">
        <f>'[2]Data 2009-11'!D55</f>
        <v>14023247.5320845</v>
      </c>
      <c r="H19" s="1">
        <f>'[2]Data 2009-11'!E55</f>
        <v>16011951</v>
      </c>
      <c r="I19" s="1">
        <f>'[2]Data 2009-11'!F55</f>
        <v>27357162.129999992</v>
      </c>
      <c r="J19" s="1">
        <f>'[2]DNSP Data Inputs 2012-15'!G55*J4</f>
        <v>32795108.285409834</v>
      </c>
      <c r="K19" s="1">
        <f>'[2]DNSP Data Inputs 2012-15'!H55*K4</f>
        <v>29620145.043780301</v>
      </c>
      <c r="L19" s="1">
        <f>'[2]DNSP Data Inputs 2012-15'!I55*L4</f>
        <v>27232963.690864716</v>
      </c>
      <c r="M19" s="1">
        <f>'[2]DNSP Data Inputs 2012-15'!J55*M4</f>
        <v>28200765.486839544</v>
      </c>
      <c r="N19" s="1">
        <f t="shared" si="2"/>
        <v>177241343.16897887</v>
      </c>
      <c r="O19" s="33"/>
      <c r="P19" s="36"/>
    </row>
    <row r="20" spans="1:16" x14ac:dyDescent="0.25">
      <c r="B20" s="12"/>
      <c r="C20" s="12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6" x14ac:dyDescent="0.25">
      <c r="B21" s="38" t="s">
        <v>16</v>
      </c>
      <c r="C21" s="1">
        <f>SUM('[2]Tariff Compliance'!$N$50:$N$55)</f>
        <v>669745</v>
      </c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6" s="15" customFormat="1" x14ac:dyDescent="0.25">
      <c r="A22" s="7"/>
      <c r="B22" s="13"/>
      <c r="C22" s="13"/>
      <c r="D22" s="14"/>
      <c r="E22" s="14"/>
      <c r="F22" s="14"/>
      <c r="G22" s="14"/>
      <c r="H22" s="14"/>
      <c r="I22" s="14"/>
      <c r="N22" s="14"/>
    </row>
    <row r="23" spans="1:16" s="17" customFormat="1" x14ac:dyDescent="0.25">
      <c r="A23" s="4"/>
      <c r="B23" s="16"/>
      <c r="C23" s="16"/>
      <c r="D23" s="3"/>
      <c r="E23" s="3"/>
      <c r="F23" s="3"/>
      <c r="G23" s="3"/>
      <c r="H23" s="3"/>
      <c r="I23" s="3"/>
      <c r="N23" s="3"/>
    </row>
    <row r="24" spans="1:16" s="17" customFormat="1" x14ac:dyDescent="0.25">
      <c r="A24" s="18" t="s">
        <v>9</v>
      </c>
      <c r="B24" s="19" t="str">
        <f>B9</f>
        <v>Capex</v>
      </c>
      <c r="C24" s="19"/>
    </row>
    <row r="25" spans="1:16" s="17" customFormat="1" x14ac:dyDescent="0.25">
      <c r="A25" s="18"/>
      <c r="B25" s="20" t="str">
        <f>B10</f>
        <v>Remotely read interval meters &amp; transformers</v>
      </c>
      <c r="C25" s="20"/>
      <c r="D25" s="3">
        <f>'[3]Data 2006-08'!D84</f>
        <v>0</v>
      </c>
      <c r="E25" s="3">
        <f>'[3]Data 2006-08'!E84</f>
        <v>0</v>
      </c>
      <c r="F25" s="3">
        <f>'[3]Data 2006-08'!F84</f>
        <v>0</v>
      </c>
      <c r="G25" s="3"/>
      <c r="H25" s="3"/>
      <c r="I25" s="3"/>
      <c r="J25" s="3"/>
      <c r="K25" s="3"/>
      <c r="L25" s="3"/>
      <c r="M25" s="3"/>
      <c r="N25" s="1">
        <f>SUM(D25:M25)</f>
        <v>0</v>
      </c>
    </row>
    <row r="26" spans="1:16" s="17" customFormat="1" x14ac:dyDescent="0.25">
      <c r="A26" s="18"/>
      <c r="B26" s="20" t="str">
        <f t="shared" ref="B26:B32" si="3">B11</f>
        <v>Accumulation Meters</v>
      </c>
      <c r="C26" s="20"/>
      <c r="D26" s="3"/>
      <c r="E26" s="3"/>
      <c r="F26" s="3"/>
      <c r="G26" s="3">
        <f>'[3]Data 2009-11'!D10</f>
        <v>4532473.805165709</v>
      </c>
      <c r="H26" s="3">
        <f>'[3]Data 2009-11'!E10</f>
        <v>3901457.2776575359</v>
      </c>
      <c r="I26" s="3">
        <f>'[3]Data 2009-11'!F10</f>
        <v>1584273.64</v>
      </c>
      <c r="J26" s="3">
        <f>'[3]Data 2009-15 (Real $2008)'!G10*$J$4</f>
        <v>949291.2300000001</v>
      </c>
      <c r="K26" s="3">
        <f>'[3]Data 2009-15 (Real $2008)'!H10*$K$4</f>
        <v>39119.330790101485</v>
      </c>
      <c r="L26" s="3">
        <f>'[3]Data 2009-15 (Real $2008)'!I10*$L$4</f>
        <v>0</v>
      </c>
      <c r="M26" s="3">
        <f>'[3]Data 2009-15 (Real $2008)'!J10*$M$4</f>
        <v>0</v>
      </c>
      <c r="N26" s="1">
        <f t="shared" ref="N26:N34" si="4">SUM(D26:M26)</f>
        <v>11006615.283613347</v>
      </c>
    </row>
    <row r="27" spans="1:16" s="17" customFormat="1" x14ac:dyDescent="0.25">
      <c r="A27" s="18"/>
      <c r="B27" s="20" t="str">
        <f t="shared" si="3"/>
        <v>Manually read interval meters</v>
      </c>
      <c r="C27" s="20"/>
      <c r="D27" s="3"/>
      <c r="E27" s="3"/>
      <c r="F27" s="3"/>
      <c r="G27" s="3">
        <f>'[3]Data 2009-11'!D11</f>
        <v>4149037.5409553209</v>
      </c>
      <c r="H27" s="3">
        <f>'[3]Data 2009-11'!E11</f>
        <v>4817824.8053511195</v>
      </c>
      <c r="I27" s="3">
        <f>'[3]Data 2009-11'!F11</f>
        <v>760748.95</v>
      </c>
      <c r="J27" s="3">
        <f>'[3]Data 2009-15 (Real $2008)'!G11*$J$4</f>
        <v>160108.47999999998</v>
      </c>
      <c r="K27" s="3">
        <f>'[3]Data 2009-15 (Real $2008)'!H11*$K$4</f>
        <v>50266.466158505798</v>
      </c>
      <c r="L27" s="3">
        <f>'[3]Data 2009-15 (Real $2008)'!I11*$L$4</f>
        <v>0</v>
      </c>
      <c r="M27" s="3">
        <f>'[3]Data 2009-15 (Real $2008)'!J11*$M$4</f>
        <v>0</v>
      </c>
      <c r="N27" s="1">
        <f t="shared" si="4"/>
        <v>9937986.2424649447</v>
      </c>
    </row>
    <row r="28" spans="1:16" s="17" customFormat="1" x14ac:dyDescent="0.25">
      <c r="A28" s="18"/>
      <c r="B28" s="20" t="str">
        <f t="shared" si="3"/>
        <v>Remotely read interval meters &amp; transformers</v>
      </c>
      <c r="C28" s="20"/>
      <c r="G28" s="3">
        <f>'[3]Data 2009-11'!D12</f>
        <v>2210814.54</v>
      </c>
      <c r="H28" s="3">
        <f>'[3]Data 2009-11'!E12</f>
        <v>66062251.949999988</v>
      </c>
      <c r="I28" s="3">
        <f>'[3]Data 2009-11'!F12</f>
        <v>92857134.000426456</v>
      </c>
      <c r="J28" s="3">
        <f>'[3]Data 2009-15 (Real $2008)'!G12*$J$4</f>
        <v>97462298.309903547</v>
      </c>
      <c r="K28" s="3">
        <f>'[3]Data 2009-15 (Real $2008)'!H12*$K$4</f>
        <v>65804588.892046385</v>
      </c>
      <c r="L28" s="3">
        <f>'[3]Data 2009-15 (Real $2008)'!I12*$L$4</f>
        <v>7386029.1639621379</v>
      </c>
      <c r="M28" s="3">
        <f>'[3]Data 2009-15 (Real $2008)'!J12*$M$4</f>
        <v>7540738.6753428932</v>
      </c>
      <c r="N28" s="1">
        <f t="shared" si="4"/>
        <v>339323855.53168142</v>
      </c>
    </row>
    <row r="29" spans="1:16" s="17" customFormat="1" x14ac:dyDescent="0.25">
      <c r="A29" s="18"/>
      <c r="B29" s="20" t="str">
        <f t="shared" si="3"/>
        <v>IT</v>
      </c>
      <c r="C29" s="20"/>
      <c r="D29" s="3">
        <f>'[3]Data 2006-08'!D85</f>
        <v>332599.15000000002</v>
      </c>
      <c r="E29" s="3">
        <f>'[3]Data 2006-08'!E85</f>
        <v>2817702.7430999996</v>
      </c>
      <c r="F29" s="3">
        <f>'[3]Data 2006-08'!F85</f>
        <v>10813305.572385356</v>
      </c>
      <c r="G29" s="3">
        <f>'[3]Data 2009-11'!D13</f>
        <v>24047547.66</v>
      </c>
      <c r="H29" s="3">
        <f>'[3]Data 2009-11'!E13</f>
        <v>21118048.699999999</v>
      </c>
      <c r="I29" s="3">
        <f>'[3]Data 2009-11'!F13</f>
        <v>11333414.250000002</v>
      </c>
      <c r="J29" s="3">
        <f>'[3]Data 2009-15 (Real $2008)'!G13*$J$4</f>
        <v>9257594.75</v>
      </c>
      <c r="K29" s="3">
        <f>'[3]Data 2009-15 (Real $2008)'!H13*$K$4</f>
        <v>9022086.7167293243</v>
      </c>
      <c r="L29" s="3">
        <f>'[3]Data 2009-15 (Real $2008)'!I13*$L$4</f>
        <v>7290568.4212248595</v>
      </c>
      <c r="M29" s="3">
        <f>'[3]Data 2009-15 (Real $2008)'!J13*$M$4</f>
        <v>5566562.7361371107</v>
      </c>
      <c r="N29" s="1">
        <f t="shared" si="4"/>
        <v>101599430.69957665</v>
      </c>
    </row>
    <row r="30" spans="1:16" s="17" customFormat="1" x14ac:dyDescent="0.25">
      <c r="A30" s="18"/>
      <c r="B30" s="20" t="str">
        <f t="shared" si="3"/>
        <v>Communications</v>
      </c>
      <c r="C30" s="20"/>
      <c r="D30" s="3">
        <f>'[3]Data 2006-08'!D86</f>
        <v>0</v>
      </c>
      <c r="E30" s="3">
        <f>'[3]Data 2006-08'!E86</f>
        <v>0</v>
      </c>
      <c r="F30" s="3">
        <f>'[3]Data 2006-08'!F86</f>
        <v>352889.07546270383</v>
      </c>
      <c r="G30" s="3">
        <f>'[3]Data 2009-11'!D14</f>
        <v>945747.1</v>
      </c>
      <c r="H30" s="3">
        <f>'[3]Data 2009-11'!E14</f>
        <v>3326145.38</v>
      </c>
      <c r="I30" s="3">
        <f>'[3]Data 2009-11'!F14</f>
        <v>16172606.329999998</v>
      </c>
      <c r="J30" s="3">
        <f>'[3]Data 2009-15 (Real $2008)'!G14*$J$4</f>
        <v>11529042.254151426</v>
      </c>
      <c r="K30" s="3">
        <f>'[3]Data 2009-15 (Real $2008)'!H14*$K$4</f>
        <v>8366816.1912810458</v>
      </c>
      <c r="L30" s="3">
        <f>'[3]Data 2009-15 (Real $2008)'!I14*$L$4</f>
        <v>2356892.3480613944</v>
      </c>
      <c r="M30" s="3">
        <f>'[3]Data 2009-15 (Real $2008)'!J14*$M$4</f>
        <v>1139901.4657820622</v>
      </c>
      <c r="N30" s="1">
        <f t="shared" si="4"/>
        <v>44190040.144738629</v>
      </c>
    </row>
    <row r="31" spans="1:16" s="17" customFormat="1" x14ac:dyDescent="0.25">
      <c r="A31" s="18"/>
      <c r="B31" s="20" t="str">
        <f t="shared" si="3"/>
        <v>Other</v>
      </c>
      <c r="C31" s="20"/>
      <c r="D31" s="3">
        <f>'[3]Data 2006-08'!D87</f>
        <v>0</v>
      </c>
      <c r="E31" s="3">
        <f>'[3]Data 2006-08'!E87</f>
        <v>73834.561198694442</v>
      </c>
      <c r="F31" s="3">
        <f>'[3]Data 2006-08'!F87</f>
        <v>188267.84</v>
      </c>
      <c r="G31" s="3">
        <f>'[3]Data 2009-11'!D15</f>
        <v>527728.94999999995</v>
      </c>
      <c r="H31" s="3">
        <f>'[3]Data 2009-11'!E15</f>
        <v>627653.81999999995</v>
      </c>
      <c r="I31" s="3">
        <f>'[3]Data 2009-11'!F15</f>
        <v>349105.82</v>
      </c>
      <c r="J31" s="3">
        <f>'[3]Data 2009-15 (Real $2008)'!G15*$J$4</f>
        <v>174723.79</v>
      </c>
      <c r="K31" s="3">
        <f>'[3]Data 2009-15 (Real $2008)'!H15*$K$4</f>
        <v>123220.28133821014</v>
      </c>
      <c r="L31" s="3">
        <f>'[3]Data 2009-15 (Real $2008)'!I15*$L$4</f>
        <v>126263.82228726393</v>
      </c>
      <c r="M31" s="3">
        <f>'[3]Data 2009-15 (Real $2008)'!J15*$M$4</f>
        <v>139487.70835541695</v>
      </c>
      <c r="N31" s="1">
        <f t="shared" si="4"/>
        <v>2330286.5931795859</v>
      </c>
    </row>
    <row r="32" spans="1:16" s="17" customFormat="1" x14ac:dyDescent="0.25">
      <c r="A32" s="18"/>
      <c r="B32" s="20" t="str">
        <f t="shared" si="3"/>
        <v>Total</v>
      </c>
      <c r="C32" s="20"/>
      <c r="D32" s="3">
        <f>'[3]Data 2006-08'!D88</f>
        <v>332599.15000000002</v>
      </c>
      <c r="E32" s="3">
        <f>'[3]Data 2006-08'!E88</f>
        <v>2891537.3042986942</v>
      </c>
      <c r="F32" s="3">
        <f>'[3]Data 2006-08'!F88</f>
        <v>11354462.48784806</v>
      </c>
      <c r="G32" s="3">
        <f>'[3]Data 2009-11'!D16</f>
        <v>36413349.596121036</v>
      </c>
      <c r="H32" s="3">
        <f>'[3]Data 2009-11'!E16</f>
        <v>99853381.933008626</v>
      </c>
      <c r="I32" s="3">
        <f>'[3]Data 2009-11'!F16</f>
        <v>123057282.99042645</v>
      </c>
      <c r="J32" s="3">
        <f>'[3]Data 2009-15 (Real $2008)'!G16*$J$4</f>
        <v>119533058.81405498</v>
      </c>
      <c r="K32" s="3">
        <f>'[3]Data 2009-15 (Real $2008)'!H16*$K$4</f>
        <v>83406097.878343567</v>
      </c>
      <c r="L32" s="3">
        <f>'[3]Data 2009-15 (Real $2008)'!I16*$L$4</f>
        <v>17159753.755535655</v>
      </c>
      <c r="M32" s="3">
        <f>'[3]Data 2009-15 (Real $2008)'!J16*$M$4</f>
        <v>14386690.585617485</v>
      </c>
      <c r="N32" s="1">
        <f t="shared" si="4"/>
        <v>508388214.49525452</v>
      </c>
      <c r="O32" s="34"/>
      <c r="P32" s="36"/>
    </row>
    <row r="33" spans="1:16" s="17" customFormat="1" x14ac:dyDescent="0.25">
      <c r="A33" s="18"/>
      <c r="B33" s="16"/>
      <c r="C33" s="16"/>
      <c r="D33" s="3"/>
      <c r="E33" s="3"/>
      <c r="F33" s="3"/>
      <c r="G33" s="3"/>
      <c r="H33" s="3"/>
      <c r="I33" s="3"/>
      <c r="J33" s="3"/>
      <c r="K33" s="3"/>
      <c r="L33" s="3"/>
      <c r="M33" s="3"/>
      <c r="N33" s="1"/>
      <c r="P33" s="2"/>
    </row>
    <row r="34" spans="1:16" s="17" customFormat="1" x14ac:dyDescent="0.25">
      <c r="A34" s="4"/>
      <c r="B34" s="19" t="str">
        <f>B19</f>
        <v>Opex</v>
      </c>
      <c r="C34" s="19"/>
      <c r="D34" s="3">
        <f>'[3]Data 2006-08'!D115</f>
        <v>1528664.3097925447</v>
      </c>
      <c r="E34" s="3">
        <f>'[3]Data 2006-08'!E115</f>
        <v>5857710.0682765488</v>
      </c>
      <c r="F34" s="3">
        <f>'[3]Data 2006-08'!F115</f>
        <v>9571029.1244312823</v>
      </c>
      <c r="G34" s="3">
        <f>'[3]Data 2009-11'!D55</f>
        <v>24814068.844235312</v>
      </c>
      <c r="H34" s="3">
        <f>'[3]Data 2009-11'!E55</f>
        <v>19953460.2551184</v>
      </c>
      <c r="I34" s="3">
        <f>'[3]Data 2009-11'!F55</f>
        <v>26822517.64150586</v>
      </c>
      <c r="J34" s="3">
        <f>'[3]Data 2009-15 (Real $2008)'!G55*$J$4</f>
        <v>22519258.547136702</v>
      </c>
      <c r="K34" s="3">
        <f>'[3]Data 2009-15 (Real $2008)'!H55*$K$4</f>
        <v>24331213.754284441</v>
      </c>
      <c r="L34" s="3">
        <f>'[3]Data 2009-15 (Real $2008)'!I55*$L$4</f>
        <v>23664479.065583806</v>
      </c>
      <c r="M34" s="3">
        <f>'[3]Data 2009-15 (Real $2008)'!J55*$M$4</f>
        <v>23940462.34061012</v>
      </c>
      <c r="N34" s="1">
        <f t="shared" si="4"/>
        <v>183002863.950975</v>
      </c>
      <c r="O34" s="34"/>
      <c r="P34" s="36"/>
    </row>
    <row r="35" spans="1:16" s="17" customFormat="1" x14ac:dyDescent="0.25">
      <c r="A35" s="4"/>
      <c r="B35" s="19"/>
      <c r="C35" s="19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6" s="17" customFormat="1" x14ac:dyDescent="0.25">
      <c r="A36" s="4"/>
      <c r="B36" s="19" t="str">
        <f t="shared" ref="B36" si="5">B21</f>
        <v>Customers (meter provision charge)</v>
      </c>
      <c r="C36" s="1">
        <f>SUM('[3]Tariff Compliance'!$N$70:$N$72)</f>
        <v>762898.44279145089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6" s="15" customFormat="1" x14ac:dyDescent="0.25">
      <c r="A37" s="7"/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6" s="17" customFormat="1" x14ac:dyDescent="0.25">
      <c r="A38" s="4"/>
      <c r="B38" s="16"/>
      <c r="C38" s="1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6" s="17" customFormat="1" x14ac:dyDescent="0.25">
      <c r="A39" s="18" t="s">
        <v>11</v>
      </c>
      <c r="B39" s="19" t="str">
        <f>B24</f>
        <v>Capex</v>
      </c>
      <c r="C39" s="19"/>
    </row>
    <row r="40" spans="1:16" s="17" customFormat="1" x14ac:dyDescent="0.25">
      <c r="A40" s="4"/>
      <c r="B40" s="20" t="str">
        <f t="shared" ref="B40:B47" si="6">B25</f>
        <v>Remotely read interval meters &amp; transformers</v>
      </c>
      <c r="C40" s="20"/>
      <c r="D40" s="3">
        <f>'[4]Data 2006-08'!D84</f>
        <v>0</v>
      </c>
      <c r="E40" s="3">
        <f>'[4]Data 2006-08'!E84</f>
        <v>0</v>
      </c>
      <c r="F40" s="3">
        <f>'[4]Data 2006-08'!F84</f>
        <v>0</v>
      </c>
      <c r="G40" s="3"/>
      <c r="H40" s="3"/>
      <c r="I40" s="3"/>
      <c r="J40" s="3"/>
      <c r="K40" s="3"/>
      <c r="L40" s="3"/>
      <c r="M40" s="3"/>
      <c r="N40" s="1">
        <f>SUM(D40:M40)</f>
        <v>0</v>
      </c>
    </row>
    <row r="41" spans="1:16" s="17" customFormat="1" x14ac:dyDescent="0.25">
      <c r="A41" s="4"/>
      <c r="B41" s="20" t="str">
        <f t="shared" si="6"/>
        <v>Accumulation Meters</v>
      </c>
      <c r="C41" s="20"/>
      <c r="D41" s="3"/>
      <c r="E41" s="3"/>
      <c r="F41" s="3"/>
      <c r="G41" s="3">
        <f>'[4]Data 2009-11'!D10</f>
        <v>1468615.4141471654</v>
      </c>
      <c r="H41" s="3">
        <f>'[4]Data 2009-11'!E10</f>
        <v>1304832.0340102196</v>
      </c>
      <c r="I41" s="3">
        <f>'[4]Data 2009-11'!F10</f>
        <v>115969.86000000002</v>
      </c>
      <c r="J41" s="3">
        <f>'[4]Data 2009-15 (Real $2008)'!G10*$J$4</f>
        <v>27756.02</v>
      </c>
      <c r="K41" s="3">
        <f>'[4]Data 2009-15 (Real $2008)'!H10*$K$4</f>
        <v>3833.4159707219183</v>
      </c>
      <c r="L41" s="3">
        <f>'[4]Data 2009-15 (Real $2008)'!I10*$L$4</f>
        <v>0</v>
      </c>
      <c r="M41" s="3">
        <f>'[4]Data 2009-15 (Real $2008)'!J10*$M$4</f>
        <v>0</v>
      </c>
      <c r="N41" s="1">
        <f t="shared" ref="N41:N49" si="7">SUM(D41:M41)</f>
        <v>2921006.7441281066</v>
      </c>
    </row>
    <row r="42" spans="1:16" s="17" customFormat="1" x14ac:dyDescent="0.25">
      <c r="A42" s="4"/>
      <c r="B42" s="20" t="str">
        <f t="shared" si="6"/>
        <v>Manually read interval meters</v>
      </c>
      <c r="C42" s="20"/>
      <c r="D42" s="3"/>
      <c r="E42" s="3"/>
      <c r="F42" s="3"/>
      <c r="G42" s="3">
        <f>'[4]Data 2009-11'!D11</f>
        <v>618842.83315334772</v>
      </c>
      <c r="H42" s="3">
        <f>'[4]Data 2009-11'!E11</f>
        <v>1131573.3510638534</v>
      </c>
      <c r="I42" s="3">
        <f>'[4]Data 2009-11'!F11</f>
        <v>272171.59999999998</v>
      </c>
      <c r="J42" s="3">
        <f>'[4]Data 2009-15 (Real $2008)'!G11*$J$4</f>
        <v>46787.919999999991</v>
      </c>
      <c r="K42" s="3">
        <f>'[4]Data 2009-15 (Real $2008)'!H11*$K$4</f>
        <v>6203.2090863526764</v>
      </c>
      <c r="L42" s="3">
        <f>'[4]Data 2009-15 (Real $2008)'!I11*$L$4</f>
        <v>0</v>
      </c>
      <c r="M42" s="3">
        <f>'[4]Data 2009-15 (Real $2008)'!J11*$M$4</f>
        <v>0</v>
      </c>
      <c r="N42" s="1">
        <f t="shared" si="7"/>
        <v>2075578.9133035538</v>
      </c>
    </row>
    <row r="43" spans="1:16" s="17" customFormat="1" x14ac:dyDescent="0.25">
      <c r="A43" s="4"/>
      <c r="B43" s="20" t="str">
        <f t="shared" si="6"/>
        <v>Remotely read interval meters &amp; transformers</v>
      </c>
      <c r="C43" s="20"/>
      <c r="G43" s="3">
        <f>'[4]Data 2009-11'!D12</f>
        <v>1194118.8600000001</v>
      </c>
      <c r="H43" s="3">
        <f>'[4]Data 2009-11'!E12</f>
        <v>24419109.440000001</v>
      </c>
      <c r="I43" s="3">
        <f>'[4]Data 2009-11'!F12</f>
        <v>39064217.97794871</v>
      </c>
      <c r="J43" s="3">
        <f>'[4]Data 2009-15 (Real $2008)'!G12*$J$4</f>
        <v>35577543.772276796</v>
      </c>
      <c r="K43" s="3">
        <f>'[4]Data 2009-15 (Real $2008)'!H12*$K$4</f>
        <v>28146647.275340497</v>
      </c>
      <c r="L43" s="3">
        <f>'[4]Data 2009-15 (Real $2008)'!I12*$L$4</f>
        <v>2609275.2740740017</v>
      </c>
      <c r="M43" s="3">
        <f>'[4]Data 2009-15 (Real $2008)'!J12*$M$4</f>
        <v>3184827.9746103082</v>
      </c>
      <c r="N43" s="1">
        <f t="shared" si="7"/>
        <v>134195740.57425031</v>
      </c>
    </row>
    <row r="44" spans="1:16" s="17" customFormat="1" x14ac:dyDescent="0.25">
      <c r="A44" s="4"/>
      <c r="B44" s="20" t="str">
        <f t="shared" si="6"/>
        <v>IT</v>
      </c>
      <c r="C44" s="20"/>
      <c r="D44" s="3">
        <f>'[4]Data 2006-08'!D85</f>
        <v>332599.15000000002</v>
      </c>
      <c r="E44" s="3">
        <f>'[4]Data 2006-08'!E85</f>
        <v>1661921.6560751181</v>
      </c>
      <c r="F44" s="3">
        <f>'[4]Data 2006-08'!F85</f>
        <v>6813649.1338538202</v>
      </c>
      <c r="G44" s="3">
        <f>'[4]Data 2009-11'!D13</f>
        <v>13010286.379999999</v>
      </c>
      <c r="H44" s="3">
        <f>'[4]Data 2009-11'!E13</f>
        <v>11888655.5</v>
      </c>
      <c r="I44" s="3">
        <f>'[4]Data 2009-11'!F13</f>
        <v>6194914.0899999999</v>
      </c>
      <c r="J44" s="3">
        <f>'[4]Data 2009-15 (Real $2008)'!G13*$J$4</f>
        <v>6292021.4800000004</v>
      </c>
      <c r="K44" s="3">
        <f>'[4]Data 2009-15 (Real $2008)'!H13*$K$4</f>
        <v>4513484.7458521761</v>
      </c>
      <c r="L44" s="3">
        <f>'[4]Data 2009-15 (Real $2008)'!I13*$L$4</f>
        <v>3493937.7631834266</v>
      </c>
      <c r="M44" s="3">
        <f>'[4]Data 2009-15 (Real $2008)'!J13*$M$4</f>
        <v>2637488.008761236</v>
      </c>
      <c r="N44" s="1">
        <f t="shared" si="7"/>
        <v>56838957.907725774</v>
      </c>
    </row>
    <row r="45" spans="1:16" s="17" customFormat="1" x14ac:dyDescent="0.25">
      <c r="A45" s="4"/>
      <c r="B45" s="20" t="str">
        <f t="shared" si="6"/>
        <v>Communications</v>
      </c>
      <c r="C45" s="20"/>
      <c r="D45" s="3">
        <f>'[4]Data 2006-08'!D86</f>
        <v>0</v>
      </c>
      <c r="E45" s="3">
        <f>'[4]Data 2006-08'!E86</f>
        <v>0</v>
      </c>
      <c r="F45" s="3">
        <f>'[4]Data 2006-08'!F86</f>
        <v>167727.85031276822</v>
      </c>
      <c r="G45" s="3">
        <f>'[4]Data 2009-11'!D14</f>
        <v>496679.74</v>
      </c>
      <c r="H45" s="3">
        <f>'[4]Data 2009-11'!E14</f>
        <v>1581806.02</v>
      </c>
      <c r="I45" s="3">
        <f>'[4]Data 2009-11'!F14</f>
        <v>948182.41999999993</v>
      </c>
      <c r="J45" s="3">
        <f>'[4]Data 2009-15 (Real $2008)'!G14*$J$4</f>
        <v>2341229.455105715</v>
      </c>
      <c r="K45" s="3">
        <f>'[4]Data 2009-15 (Real $2008)'!H14*$K$4</f>
        <v>225891.06705936705</v>
      </c>
      <c r="L45" s="3">
        <f>'[4]Data 2009-15 (Real $2008)'!I14*$L$4</f>
        <v>135548.46811781568</v>
      </c>
      <c r="M45" s="3">
        <f>'[4]Data 2009-15 (Real $2008)'!J14*$M$4</f>
        <v>94118.361811384442</v>
      </c>
      <c r="N45" s="1">
        <f t="shared" si="7"/>
        <v>5991183.3824070506</v>
      </c>
    </row>
    <row r="46" spans="1:16" s="17" customFormat="1" x14ac:dyDescent="0.25">
      <c r="A46" s="4"/>
      <c r="B46" s="20" t="str">
        <f t="shared" si="6"/>
        <v>Other</v>
      </c>
      <c r="C46" s="20"/>
      <c r="D46" s="3">
        <f>'[4]Data 2006-08'!D87</f>
        <v>0</v>
      </c>
      <c r="E46" s="3">
        <f>'[4]Data 2006-08'!E87</f>
        <v>0</v>
      </c>
      <c r="F46" s="3">
        <f>'[4]Data 2006-08'!F87</f>
        <v>0</v>
      </c>
      <c r="G46" s="3">
        <f>'[4]Data 2009-11'!D15</f>
        <v>0</v>
      </c>
      <c r="H46" s="3">
        <f>'[4]Data 2009-11'!E15</f>
        <v>0</v>
      </c>
      <c r="I46" s="3">
        <f>'[4]Data 2009-11'!F15</f>
        <v>90958.91</v>
      </c>
      <c r="J46" s="3">
        <f>'[4]Data 2009-15 (Real $2008)'!G15*$J$4</f>
        <v>0</v>
      </c>
      <c r="K46" s="3">
        <f>'[4]Data 2009-15 (Real $2008)'!H15*$K$4</f>
        <v>0</v>
      </c>
      <c r="L46" s="3">
        <f>'[4]Data 2009-15 (Real $2008)'!I15*$L$4</f>
        <v>0</v>
      </c>
      <c r="M46" s="3">
        <f>'[4]Data 2009-15 (Real $2008)'!J15*$M$4</f>
        <v>0</v>
      </c>
      <c r="N46" s="1">
        <f t="shared" si="7"/>
        <v>90958.91</v>
      </c>
    </row>
    <row r="47" spans="1:16" s="17" customFormat="1" x14ac:dyDescent="0.25">
      <c r="A47" s="4"/>
      <c r="B47" s="20" t="str">
        <f t="shared" si="6"/>
        <v>Total</v>
      </c>
      <c r="C47" s="20"/>
      <c r="D47" s="3">
        <f>'[4]Data 2006-08'!D88</f>
        <v>332599.15000000002</v>
      </c>
      <c r="E47" s="3">
        <f>'[4]Data 2006-08'!E88</f>
        <v>1661921.6560751181</v>
      </c>
      <c r="F47" s="3">
        <f>'[4]Data 2006-08'!F88</f>
        <v>6981376.9841665886</v>
      </c>
      <c r="G47" s="3">
        <f>'[4]Data 2009-11'!D16</f>
        <v>16788543.22730051</v>
      </c>
      <c r="H47" s="3">
        <f>'[4]Data 2009-11'!E16</f>
        <v>40325976.34507408</v>
      </c>
      <c r="I47" s="3">
        <f>'[4]Data 2009-11'!F16</f>
        <v>46686414.857948706</v>
      </c>
      <c r="J47" s="3">
        <f>'[4]Data 2009-15 (Real $2008)'!G16*$J$4</f>
        <v>44285338.647382513</v>
      </c>
      <c r="K47" s="3">
        <f>'[4]Data 2009-15 (Real $2008)'!H16*$K$4</f>
        <v>32896059.713309113</v>
      </c>
      <c r="L47" s="3">
        <f>'[4]Data 2009-15 (Real $2008)'!I16*$L$4</f>
        <v>6238761.5053752437</v>
      </c>
      <c r="M47" s="3">
        <f>'[4]Data 2009-15 (Real $2008)'!J16*$M$4</f>
        <v>5916434.3451829301</v>
      </c>
      <c r="N47" s="1">
        <f t="shared" si="7"/>
        <v>202113426.43181479</v>
      </c>
      <c r="O47" s="34"/>
      <c r="P47" s="36"/>
    </row>
    <row r="48" spans="1:16" s="17" customFormat="1" x14ac:dyDescent="0.25">
      <c r="A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1"/>
      <c r="P48" s="2"/>
    </row>
    <row r="49" spans="1:16" s="17" customFormat="1" x14ac:dyDescent="0.25">
      <c r="A49" s="4"/>
      <c r="B49" s="19" t="str">
        <f>B34</f>
        <v>Opex</v>
      </c>
      <c r="C49" s="19"/>
      <c r="D49" s="3">
        <f>'[4]Data 2006-08'!D115</f>
        <v>490154.30347736203</v>
      </c>
      <c r="E49" s="3">
        <f>'[4]Data 2006-08'!E115</f>
        <v>3375498.7300711046</v>
      </c>
      <c r="F49" s="3">
        <f>'[4]Data 2006-08'!F115</f>
        <v>4429652.4868221348</v>
      </c>
      <c r="G49" s="3">
        <f>'[4]Data 2009-11'!D55</f>
        <v>12186311.267134894</v>
      </c>
      <c r="H49" s="3">
        <f>'[4]Data 2009-11'!E55</f>
        <v>10053825.672141695</v>
      </c>
      <c r="I49" s="3">
        <f>'[4]Data 2009-11'!F55</f>
        <v>13888721.791800356</v>
      </c>
      <c r="J49" s="3">
        <f>'[4]Data 2009-15 (Real $2008)'!G55*$J$4</f>
        <v>11690996.374198472</v>
      </c>
      <c r="K49" s="3">
        <f>'[4]Data 2009-15 (Real $2008)'!H55*$K$4</f>
        <v>9882575.3873525523</v>
      </c>
      <c r="L49" s="3">
        <f>'[4]Data 2009-15 (Real $2008)'!I55*$L$4</f>
        <v>9793390.1851693261</v>
      </c>
      <c r="M49" s="3">
        <f>'[4]Data 2009-15 (Real $2008)'!J55*$M$4</f>
        <v>9726644.7991451435</v>
      </c>
      <c r="N49" s="1">
        <f t="shared" si="7"/>
        <v>85517770.997313052</v>
      </c>
      <c r="O49" s="34"/>
      <c r="P49" s="36"/>
    </row>
    <row r="50" spans="1:16" s="17" customFormat="1" x14ac:dyDescent="0.25">
      <c r="A50" s="4"/>
      <c r="B50" s="19"/>
      <c r="C50" s="19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6" s="17" customFormat="1" x14ac:dyDescent="0.25">
      <c r="A51" s="4"/>
      <c r="B51" s="19" t="str">
        <f t="shared" ref="B51" si="8">B36</f>
        <v>Customers (meter provision charge)</v>
      </c>
      <c r="C51" s="1">
        <f>SUM('[4]Tariff Compliance'!$N$70:$N$72)</f>
        <v>321900.68053084583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6" s="15" customFormat="1" x14ac:dyDescent="0.25">
      <c r="A52" s="7"/>
      <c r="B52" s="21"/>
      <c r="C52" s="21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1:16" s="17" customFormat="1" x14ac:dyDescent="0.25">
      <c r="A53" s="4"/>
      <c r="B53" s="19"/>
      <c r="C53" s="19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6" s="17" customFormat="1" x14ac:dyDescent="0.25">
      <c r="A54" s="18" t="s">
        <v>10</v>
      </c>
      <c r="B54" s="19" t="str">
        <f>B39</f>
        <v>Capex</v>
      </c>
      <c r="C54" s="19"/>
      <c r="D54" s="18"/>
      <c r="E54" s="18"/>
      <c r="F54" s="18"/>
      <c r="G54" s="18"/>
      <c r="H54" s="18"/>
      <c r="I54" s="18"/>
      <c r="J54" s="27"/>
      <c r="K54" s="27"/>
      <c r="L54" s="27"/>
      <c r="M54" s="27"/>
      <c r="N54" s="18"/>
    </row>
    <row r="55" spans="1:16" s="17" customFormat="1" x14ac:dyDescent="0.25">
      <c r="A55" s="4"/>
      <c r="B55" s="22" t="str">
        <f t="shared" ref="B55:B61" si="9">B40</f>
        <v>Remotely read interval meters &amp; transformers</v>
      </c>
      <c r="C55" s="22"/>
      <c r="D55" s="27">
        <f>'[5]Data 2006-08'!D84</f>
        <v>0</v>
      </c>
      <c r="E55" s="27">
        <f>'[5]Data 2006-08'!E84</f>
        <v>0</v>
      </c>
      <c r="F55" s="27">
        <f>'[5]Data 2006-08'!F84</f>
        <v>0</v>
      </c>
      <c r="G55" s="27"/>
      <c r="H55" s="27"/>
      <c r="I55" s="27"/>
      <c r="J55" s="27"/>
      <c r="K55" s="27"/>
      <c r="L55" s="27"/>
      <c r="M55" s="27"/>
      <c r="N55" s="1">
        <f>SUM(D55:M55)</f>
        <v>0</v>
      </c>
    </row>
    <row r="56" spans="1:16" s="17" customFormat="1" x14ac:dyDescent="0.25">
      <c r="A56" s="4"/>
      <c r="B56" s="22" t="str">
        <f t="shared" si="9"/>
        <v>Accumulation Meters</v>
      </c>
      <c r="C56" s="22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1">
        <f t="shared" ref="N56:N64" si="10">SUM(D56:M56)</f>
        <v>0</v>
      </c>
    </row>
    <row r="57" spans="1:16" s="17" customFormat="1" x14ac:dyDescent="0.25">
      <c r="A57" s="4"/>
      <c r="B57" s="22" t="str">
        <f t="shared" si="9"/>
        <v>Manually read interval meters</v>
      </c>
      <c r="C57" s="22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1">
        <f t="shared" si="10"/>
        <v>0</v>
      </c>
    </row>
    <row r="58" spans="1:16" s="17" customFormat="1" x14ac:dyDescent="0.25">
      <c r="A58" s="4"/>
      <c r="B58" s="22" t="str">
        <f t="shared" si="9"/>
        <v>Remotely read interval meters &amp; transformers</v>
      </c>
      <c r="C58" s="22"/>
      <c r="D58" s="28"/>
      <c r="E58" s="28"/>
      <c r="F58" s="28"/>
      <c r="G58" s="27"/>
      <c r="H58" s="27"/>
      <c r="I58" s="27"/>
      <c r="J58" s="27"/>
      <c r="K58" s="27"/>
      <c r="L58" s="27"/>
      <c r="M58" s="27"/>
      <c r="N58" s="1">
        <f t="shared" si="10"/>
        <v>0</v>
      </c>
    </row>
    <row r="59" spans="1:16" s="17" customFormat="1" x14ac:dyDescent="0.25">
      <c r="A59" s="4"/>
      <c r="B59" s="22" t="str">
        <f t="shared" si="9"/>
        <v>IT</v>
      </c>
      <c r="C59" s="22"/>
      <c r="D59" s="27">
        <f>'[5]Data 2006-08'!D85</f>
        <v>0</v>
      </c>
      <c r="E59" s="27">
        <f>'[5]Data 2006-08'!E85</f>
        <v>3778690.47</v>
      </c>
      <c r="F59" s="27">
        <f>'[5]Data 2006-08'!F85</f>
        <v>10033258.379999999</v>
      </c>
      <c r="G59" s="27"/>
      <c r="H59" s="27"/>
      <c r="I59" s="27"/>
      <c r="J59" s="27"/>
      <c r="K59" s="27"/>
      <c r="L59" s="27"/>
      <c r="M59" s="27"/>
      <c r="N59" s="1">
        <f t="shared" si="10"/>
        <v>13811948.85</v>
      </c>
    </row>
    <row r="60" spans="1:16" s="17" customFormat="1" x14ac:dyDescent="0.25">
      <c r="A60" s="4"/>
      <c r="B60" s="22" t="str">
        <f t="shared" si="9"/>
        <v>Communications</v>
      </c>
      <c r="C60" s="22"/>
      <c r="D60" s="27">
        <f>'[5]Data 2006-08'!D86</f>
        <v>0</v>
      </c>
      <c r="E60" s="27">
        <f>'[5]Data 2006-08'!E86</f>
        <v>0</v>
      </c>
      <c r="F60" s="27">
        <f>'[5]Data 2006-08'!F86</f>
        <v>0</v>
      </c>
      <c r="G60" s="27"/>
      <c r="H60" s="27"/>
      <c r="I60" s="27"/>
      <c r="J60" s="27"/>
      <c r="K60" s="27"/>
      <c r="L60" s="27"/>
      <c r="M60" s="27"/>
      <c r="N60" s="1">
        <f t="shared" si="10"/>
        <v>0</v>
      </c>
    </row>
    <row r="61" spans="1:16" s="17" customFormat="1" x14ac:dyDescent="0.25">
      <c r="A61" s="4"/>
      <c r="B61" s="22" t="str">
        <f t="shared" si="9"/>
        <v>Other</v>
      </c>
      <c r="C61" s="22"/>
      <c r="D61" s="27">
        <f>'[5]Data 2006-08'!D87</f>
        <v>0</v>
      </c>
      <c r="E61" s="27">
        <f>'[5]Data 2006-08'!E87</f>
        <v>0</v>
      </c>
      <c r="F61" s="27">
        <f>'[5]Data 2006-08'!F87</f>
        <v>0</v>
      </c>
      <c r="G61" s="27"/>
      <c r="H61" s="27"/>
      <c r="I61" s="27"/>
      <c r="J61" s="27"/>
      <c r="K61" s="27"/>
      <c r="L61" s="27"/>
      <c r="M61" s="27"/>
      <c r="N61" s="1">
        <f t="shared" si="10"/>
        <v>0</v>
      </c>
    </row>
    <row r="62" spans="1:16" s="17" customFormat="1" x14ac:dyDescent="0.25">
      <c r="A62" s="4"/>
      <c r="B62" s="22" t="str">
        <f>B47</f>
        <v>Total</v>
      </c>
      <c r="C62" s="22"/>
      <c r="D62" s="27">
        <f>'[5]Data 2006-08'!D88</f>
        <v>0</v>
      </c>
      <c r="E62" s="27">
        <f>'[5]Data 2006-08'!E88</f>
        <v>3778690.47</v>
      </c>
      <c r="F62" s="27">
        <f>'[5]Data 2006-08'!F88</f>
        <v>10033258.379999999</v>
      </c>
      <c r="G62" s="27">
        <f>'[5]Data 2009-11'!D16</f>
        <v>38593720.435499437</v>
      </c>
      <c r="H62" s="27">
        <f>'[5]Data 2009-11'!E16</f>
        <v>88848084.033738032</v>
      </c>
      <c r="I62" s="27">
        <f>'[5]Data 2009-11'!F16</f>
        <v>112694436.1680361</v>
      </c>
      <c r="J62" s="27">
        <f>'[5]Data 2009-15 (Real $2008)'!G16*J4</f>
        <v>140838402.08090585</v>
      </c>
      <c r="K62" s="27">
        <f>'[5]Data 2009-15 (Real $2008)'!H16*K4</f>
        <v>132934539.73226716</v>
      </c>
      <c r="L62" s="27">
        <f>'[5]Data 2009-15 (Real $2008)'!I16*L4</f>
        <v>17558710.16059294</v>
      </c>
      <c r="M62" s="27">
        <f>'[5]Data 2009-15 (Real $2008)'!J16*M4</f>
        <v>18935923.941072214</v>
      </c>
      <c r="N62" s="1">
        <f t="shared" si="10"/>
        <v>564215765.40211177</v>
      </c>
      <c r="O62" s="34"/>
      <c r="P62" s="36"/>
    </row>
    <row r="63" spans="1:16" s="17" customFormat="1" x14ac:dyDescent="0.25"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1"/>
      <c r="P63" s="2"/>
    </row>
    <row r="64" spans="1:16" s="17" customFormat="1" x14ac:dyDescent="0.25">
      <c r="A64" s="4"/>
      <c r="B64" s="19" t="str">
        <f>B49</f>
        <v>Opex</v>
      </c>
      <c r="C64" s="19"/>
      <c r="D64" s="27">
        <f>'[5]Data 2006-08'!D115</f>
        <v>1027698.05</v>
      </c>
      <c r="E64" s="27">
        <f>'[5]Data 2006-08'!E115</f>
        <v>3360278.7199999997</v>
      </c>
      <c r="F64" s="27">
        <f>'[5]Data 2006-08'!F115</f>
        <v>8008236.8345795637</v>
      </c>
      <c r="G64" s="27">
        <f>'[5]Data 2009-11'!D55</f>
        <v>27133020.450744912</v>
      </c>
      <c r="H64" s="27">
        <f>'[5]Data 2009-11'!E55</f>
        <v>39809474.16262313</v>
      </c>
      <c r="I64" s="27">
        <f>'[5]Data 2009-11'!F55</f>
        <v>42811168.404355973</v>
      </c>
      <c r="J64" s="27">
        <f>'[5]Data 2009-15 (Real $2008)'!G55*J4</f>
        <v>40190981.149277501</v>
      </c>
      <c r="K64" s="27">
        <f>'[5]Data 2009-15 (Real $2008)'!H55*K4</f>
        <v>39489353.750032745</v>
      </c>
      <c r="L64" s="27">
        <f>'[5]Data 2009-15 (Real $2008)'!I55*L4</f>
        <v>31531663.964577544</v>
      </c>
      <c r="M64" s="27">
        <f>'[5]Data 2009-15 (Real $2008)'!J55*M4</f>
        <v>29861928.834668159</v>
      </c>
      <c r="N64" s="1">
        <f t="shared" si="10"/>
        <v>263223804.32085955</v>
      </c>
      <c r="O64" s="34"/>
      <c r="P64" s="36"/>
    </row>
    <row r="65" spans="1:16" s="17" customFormat="1" x14ac:dyDescent="0.25">
      <c r="A65" s="4"/>
      <c r="B65" s="19"/>
      <c r="C65" s="19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10"/>
    </row>
    <row r="66" spans="1:16" s="17" customFormat="1" x14ac:dyDescent="0.25">
      <c r="A66" s="4"/>
      <c r="B66" s="19" t="str">
        <f t="shared" ref="B66" si="11">B51</f>
        <v>Customers (meter provision charge)</v>
      </c>
      <c r="C66" s="1">
        <f>SUM('[5]Tariff Compliance'!$N$56:$N$60)</f>
        <v>695360.98680500023</v>
      </c>
      <c r="D66" s="35"/>
      <c r="E66" s="5"/>
      <c r="F66" s="5"/>
      <c r="G66" s="5"/>
      <c r="H66" s="5"/>
      <c r="I66" s="5"/>
      <c r="J66" s="5"/>
      <c r="K66" s="5"/>
      <c r="L66" s="5"/>
      <c r="M66" s="5"/>
      <c r="N66" s="10"/>
    </row>
    <row r="67" spans="1:16" s="15" customFormat="1" x14ac:dyDescent="0.25">
      <c r="A67" s="7"/>
      <c r="B67" s="21"/>
      <c r="C67" s="21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</row>
    <row r="68" spans="1:16" s="17" customFormat="1" x14ac:dyDescent="0.25">
      <c r="A68" s="4"/>
      <c r="B68" s="19"/>
      <c r="C68" s="19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6" s="17" customFormat="1" x14ac:dyDescent="0.25">
      <c r="A69" s="18" t="s">
        <v>12</v>
      </c>
      <c r="B69" s="24" t="str">
        <f t="shared" ref="B69:B77" si="12">B54</f>
        <v>Capex</v>
      </c>
      <c r="C69" s="2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6" x14ac:dyDescent="0.25">
      <c r="B70" s="23" t="str">
        <f t="shared" si="12"/>
        <v>Remotely read interval meters &amp; transformers</v>
      </c>
      <c r="C70" s="23"/>
      <c r="D70" s="3">
        <f>'[6]Data 2006-08'!D84</f>
        <v>0</v>
      </c>
      <c r="E70" s="3">
        <f>'[6]Data 2006-08'!E84</f>
        <v>0</v>
      </c>
      <c r="F70" s="3">
        <f>'[6]Data 2006-08'!F84</f>
        <v>0</v>
      </c>
      <c r="G70" s="3"/>
      <c r="H70" s="3"/>
      <c r="I70" s="3"/>
      <c r="J70" s="3"/>
      <c r="K70" s="3"/>
      <c r="L70" s="3"/>
      <c r="M70" s="3"/>
      <c r="N70" s="1">
        <f>SUM(D70:M70)</f>
        <v>0</v>
      </c>
    </row>
    <row r="71" spans="1:16" x14ac:dyDescent="0.25">
      <c r="B71" s="23" t="str">
        <f t="shared" si="12"/>
        <v>Accumulation Meters</v>
      </c>
      <c r="C71" s="23"/>
      <c r="D71" s="3"/>
      <c r="E71" s="3"/>
      <c r="F71" s="3"/>
      <c r="G71" s="3">
        <f>'[6]Data 2009-11'!D10</f>
        <v>2949525.1749878968</v>
      </c>
      <c r="H71" s="3">
        <f>'[6]Data 2009-11'!E10</f>
        <v>1859749</v>
      </c>
      <c r="I71" s="3">
        <f>'[6]Data 2009-11'!F10</f>
        <v>1568574.6528388122</v>
      </c>
      <c r="J71" s="3">
        <f>'[6]Data 2009-15 (Real $2008)'!G10*$J$4</f>
        <v>74072.104309416609</v>
      </c>
      <c r="K71" s="3">
        <f>'[6]Data 2009-15 (Real $2008)'!H10*$K$4</f>
        <v>46819.839679358724</v>
      </c>
      <c r="L71" s="3">
        <f>'[6]Data 2009-15 (Real $2008)'!I10*$L$4</f>
        <v>0</v>
      </c>
      <c r="M71" s="3">
        <f>'[6]Data 2009-15 (Real $2008)'!J10*$M$4</f>
        <v>0</v>
      </c>
      <c r="N71" s="1">
        <f t="shared" ref="N71:N79" si="13">SUM(D71:M71)</f>
        <v>6498740.7718154844</v>
      </c>
    </row>
    <row r="72" spans="1:16" x14ac:dyDescent="0.25">
      <c r="B72" s="23" t="str">
        <f t="shared" si="12"/>
        <v>Manually read interval meters</v>
      </c>
      <c r="C72" s="23"/>
      <c r="D72" s="3"/>
      <c r="E72" s="3"/>
      <c r="F72" s="3"/>
      <c r="G72" s="3">
        <f>'[6]Data 2009-11'!D11</f>
        <v>870338.00501210347</v>
      </c>
      <c r="H72" s="3">
        <f>'[6]Data 2009-11'!E11</f>
        <v>1141834</v>
      </c>
      <c r="I72" s="3">
        <f>'[6]Data 2009-11'!F11</f>
        <v>963017.75006437069</v>
      </c>
      <c r="J72" s="3">
        <f>'[6]Data 2009-15 (Real $2008)'!G11*$J$4</f>
        <v>726212.07420881651</v>
      </c>
      <c r="K72" s="3">
        <f>'[6]Data 2009-15 (Real $2008)'!H11*$K$4</f>
        <v>0</v>
      </c>
      <c r="L72" s="3">
        <f>'[6]Data 2009-15 (Real $2008)'!I11*$L$4</f>
        <v>0</v>
      </c>
      <c r="M72" s="3">
        <f>'[6]Data 2009-15 (Real $2008)'!J11*$M$4</f>
        <v>0</v>
      </c>
      <c r="N72" s="1">
        <f t="shared" si="13"/>
        <v>3701401.8292852906</v>
      </c>
    </row>
    <row r="73" spans="1:16" x14ac:dyDescent="0.25">
      <c r="B73" s="23" t="str">
        <f t="shared" si="12"/>
        <v>Remotely read interval meters &amp; transformers</v>
      </c>
      <c r="C73" s="23"/>
      <c r="D73" s="17"/>
      <c r="E73" s="17"/>
      <c r="F73" s="17"/>
      <c r="G73" s="3">
        <f>'[6]Data 2009-11'!D12</f>
        <v>4649474.5767002329</v>
      </c>
      <c r="H73" s="3">
        <f>'[6]Data 2009-11'!E12</f>
        <v>10378052</v>
      </c>
      <c r="I73" s="3">
        <f>'[6]Data 2009-11'!F12</f>
        <v>18304368.381029479</v>
      </c>
      <c r="J73" s="3">
        <f>'[6]Data 2009-15 (Real $2008)'!G12*$J$4</f>
        <v>23740254.954135478</v>
      </c>
      <c r="K73" s="3">
        <f>'[6]Data 2009-15 (Real $2008)'!H12*$K$4</f>
        <v>36233290.682221986</v>
      </c>
      <c r="L73" s="3">
        <f>'[6]Data 2009-15 (Real $2008)'!I12*$L$4</f>
        <v>4764208.9946446409</v>
      </c>
      <c r="M73" s="3">
        <f>'[6]Data 2009-15 (Real $2008)'!J12*$M$4</f>
        <v>889071.91773764347</v>
      </c>
      <c r="N73" s="1">
        <f t="shared" si="13"/>
        <v>98958721.506469473</v>
      </c>
    </row>
    <row r="74" spans="1:16" x14ac:dyDescent="0.25">
      <c r="B74" s="23" t="str">
        <f t="shared" si="12"/>
        <v>IT</v>
      </c>
      <c r="C74" s="23"/>
      <c r="D74" s="3">
        <f>'[6]Data 2006-08'!D85</f>
        <v>0</v>
      </c>
      <c r="E74" s="3">
        <f>'[6]Data 2006-08'!E85</f>
        <v>0</v>
      </c>
      <c r="F74" s="3">
        <f>'[6]Data 2006-08'!F85</f>
        <v>2905326.44</v>
      </c>
      <c r="G74" s="3">
        <f>'[6]Data 2009-11'!D13</f>
        <v>25683196.395000003</v>
      </c>
      <c r="H74" s="3">
        <f>'[6]Data 2009-11'!E13</f>
        <v>5083617</v>
      </c>
      <c r="I74" s="3">
        <f>'[6]Data 2009-11'!F13</f>
        <v>285916.66200000001</v>
      </c>
      <c r="J74" s="3">
        <f>'[6]Data 2009-15 (Real $2008)'!G13*$J$4</f>
        <v>499072.1998</v>
      </c>
      <c r="K74" s="3">
        <f>'[6]Data 2009-15 (Real $2008)'!H13*$K$4</f>
        <v>1115270.5055065695</v>
      </c>
      <c r="L74" s="3">
        <f>'[6]Data 2009-15 (Real $2008)'!I13*$L$4</f>
        <v>4031178.1023308481</v>
      </c>
      <c r="M74" s="3">
        <f>'[6]Data 2009-15 (Real $2008)'!J13*$M$4</f>
        <v>3687175.7465304183</v>
      </c>
      <c r="N74" s="1">
        <f t="shared" si="13"/>
        <v>43290753.051167846</v>
      </c>
    </row>
    <row r="75" spans="1:16" x14ac:dyDescent="0.25">
      <c r="B75" s="23" t="str">
        <f t="shared" si="12"/>
        <v>Communications</v>
      </c>
      <c r="C75" s="23"/>
      <c r="D75" s="3">
        <f>'[6]Data 2006-08'!D86</f>
        <v>0</v>
      </c>
      <c r="E75" s="3">
        <f>'[6]Data 2006-08'!E86</f>
        <v>0</v>
      </c>
      <c r="F75" s="3">
        <f>'[6]Data 2006-08'!F86</f>
        <v>0</v>
      </c>
      <c r="G75" s="3">
        <f>'[6]Data 2009-11'!D14</f>
        <v>135135.01257138891</v>
      </c>
      <c r="H75" s="3">
        <f>'[6]Data 2009-11'!E14</f>
        <v>346256</v>
      </c>
      <c r="I75" s="3">
        <f>'[6]Data 2009-11'!F14</f>
        <v>1190171.4880017799</v>
      </c>
      <c r="J75" s="3">
        <f>'[6]Data 2009-15 (Real $2008)'!G14*$J$4</f>
        <v>1703483.5940852438</v>
      </c>
      <c r="K75" s="3">
        <f>'[6]Data 2009-15 (Real $2008)'!H14*$K$4</f>
        <v>3772971.7264100933</v>
      </c>
      <c r="L75" s="3">
        <f>'[6]Data 2009-15 (Real $2008)'!I14*$L$4</f>
        <v>1140296.3844456989</v>
      </c>
      <c r="M75" s="3">
        <f>'[6]Data 2009-15 (Real $2008)'!J14*$M$4</f>
        <v>490249.01082534628</v>
      </c>
      <c r="N75" s="1">
        <f t="shared" si="13"/>
        <v>8778563.2163395509</v>
      </c>
    </row>
    <row r="76" spans="1:16" x14ac:dyDescent="0.25">
      <c r="B76" s="23" t="str">
        <f t="shared" si="12"/>
        <v>Other</v>
      </c>
      <c r="C76" s="23"/>
      <c r="D76" s="3">
        <f>'[6]Data 2006-08'!D87</f>
        <v>0</v>
      </c>
      <c r="E76" s="3">
        <f>'[6]Data 2006-08'!E87</f>
        <v>1051789</v>
      </c>
      <c r="F76" s="3">
        <f>'[6]Data 2006-08'!F87</f>
        <v>12918736.560000001</v>
      </c>
      <c r="G76" s="3">
        <f>'[6]Data 2009-11'!D15</f>
        <v>30147880.21572838</v>
      </c>
      <c r="H76" s="3">
        <f>'[6]Data 2009-11'!E15</f>
        <v>20836177</v>
      </c>
      <c r="I76" s="3">
        <f>'[6]Data 2009-11'!F15</f>
        <v>6750617</v>
      </c>
      <c r="J76" s="3">
        <f>'[6]Data 2009-15 (Real $2008)'!G15*$J$4</f>
        <v>2752519.5332875773</v>
      </c>
      <c r="K76" s="3">
        <f>'[6]Data 2009-15 (Real $2008)'!H15*$K$4</f>
        <v>-764837.9640153466</v>
      </c>
      <c r="L76" s="3">
        <f>'[6]Data 2009-15 (Real $2008)'!I15*$L$4</f>
        <v>0</v>
      </c>
      <c r="M76" s="3">
        <f>'[6]Data 2009-15 (Real $2008)'!J15*$M$4</f>
        <v>0</v>
      </c>
      <c r="N76" s="1">
        <f t="shared" si="13"/>
        <v>73692881.34500061</v>
      </c>
    </row>
    <row r="77" spans="1:16" x14ac:dyDescent="0.25">
      <c r="B77" s="23" t="str">
        <f t="shared" si="12"/>
        <v>Total</v>
      </c>
      <c r="C77" s="23"/>
      <c r="D77" s="3">
        <f>'[6]Data 2006-08'!D88</f>
        <v>0</v>
      </c>
      <c r="E77" s="3">
        <f>'[6]Data 2006-08'!E88</f>
        <v>1051789</v>
      </c>
      <c r="F77" s="3">
        <f>'[6]Data 2006-08'!F88</f>
        <v>15824063</v>
      </c>
      <c r="G77" s="3">
        <f>'[6]Data 2009-11'!D16</f>
        <v>64435549.380000003</v>
      </c>
      <c r="H77" s="3">
        <f>'[6]Data 2009-11'!E16</f>
        <v>39645685</v>
      </c>
      <c r="I77" s="3">
        <f>'[6]Data 2009-11'!F16</f>
        <v>29062665.933934443</v>
      </c>
      <c r="J77" s="3">
        <f>'[6]Data 2009-15 (Real $2008)'!G16*$J$4</f>
        <v>29495614.459826536</v>
      </c>
      <c r="K77" s="3">
        <f>'[6]Data 2009-15 (Real $2008)'!H16*$K$4</f>
        <v>40403514.789802663</v>
      </c>
      <c r="L77" s="3">
        <f>'[6]Data 2009-15 (Real $2008)'!I16*$L$4</f>
        <v>9935683.4814211894</v>
      </c>
      <c r="M77" s="3">
        <f>'[6]Data 2009-15 (Real $2008)'!J16*$M$4</f>
        <v>5066496.6750934087</v>
      </c>
      <c r="N77" s="1">
        <f t="shared" si="13"/>
        <v>234921061.72007826</v>
      </c>
      <c r="O77" s="33"/>
      <c r="P77" s="36"/>
    </row>
    <row r="78" spans="1:16" x14ac:dyDescent="0.25">
      <c r="B78" s="23"/>
      <c r="C78" s="23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1:16" x14ac:dyDescent="0.25">
      <c r="B79" s="19" t="str">
        <f>B64</f>
        <v>Opex</v>
      </c>
      <c r="C79" s="19"/>
      <c r="D79" s="3">
        <f>'[6]Data 2006-08'!D115</f>
        <v>0</v>
      </c>
      <c r="E79" s="3">
        <f>'[6]Data 2006-08'!E115</f>
        <v>0</v>
      </c>
      <c r="F79" s="3">
        <f>'[6]Data 2006-08'!F115</f>
        <v>0</v>
      </c>
      <c r="G79" s="3">
        <f>'[6]Data 2009-11'!D55</f>
        <v>8437513.7038626671</v>
      </c>
      <c r="H79" s="3">
        <f>'[6]Data 2009-11'!E55</f>
        <v>10167825</v>
      </c>
      <c r="I79" s="3">
        <f>'[6]Data 2009-11'!F55</f>
        <v>16811908.977192648</v>
      </c>
      <c r="J79" s="3">
        <f>'[6]Data 2009-15 (Real $2008)'!G55*$J$4</f>
        <v>20060926.000000007</v>
      </c>
      <c r="K79" s="3">
        <f>'[6]Data 2009-15 (Real $2008)'!H55*$K$4</f>
        <v>20139122.988656208</v>
      </c>
      <c r="L79" s="3">
        <f>'[6]Data 2009-15 (Real $2008)'!I55*$L$4</f>
        <v>18527032.649028964</v>
      </c>
      <c r="M79" s="3">
        <f>'[6]Data 2009-15 (Real $2008)'!J55*$M$4</f>
        <v>17256202.381128147</v>
      </c>
      <c r="N79" s="1">
        <f t="shared" si="13"/>
        <v>111400531.69986863</v>
      </c>
      <c r="O79" s="33"/>
      <c r="P79" s="36"/>
    </row>
    <row r="80" spans="1:16" x14ac:dyDescent="0.25">
      <c r="D80" s="25"/>
      <c r="E80" s="25"/>
      <c r="F80" s="25"/>
      <c r="G80" s="25"/>
      <c r="H80" s="25"/>
      <c r="I80" s="25"/>
      <c r="J80" s="25"/>
      <c r="K80" s="25"/>
      <c r="L80" s="25"/>
      <c r="M80" s="25"/>
    </row>
    <row r="81" spans="2:4" x14ac:dyDescent="0.25">
      <c r="B81" s="19" t="str">
        <f t="shared" ref="B81" si="14">B66</f>
        <v>Customers (meter provision charge)</v>
      </c>
      <c r="C81" s="1">
        <f>SUM('[6]Tariff Compliance'!$N$50:$N$55)</f>
        <v>323790.10276237637</v>
      </c>
      <c r="D81" s="33"/>
    </row>
  </sheetData>
  <pageMargins left="0.70866141732283472" right="0.70866141732283472" top="0.74803149606299213" bottom="0.74803149606299213" header="0.31496062992125984" footer="0.31496062992125984"/>
  <pageSetup paperSize="8" scale="10" orientation="landscape" verticalDpi="12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62"/>
  <sheetViews>
    <sheetView zoomScale="85" zoomScaleNormal="85" workbookViewId="0">
      <pane ySplit="7" topLeftCell="A122" activePane="bottomLeft" state="frozen"/>
      <selection pane="bottomLeft" activeCell="H47" sqref="H47"/>
    </sheetView>
  </sheetViews>
  <sheetFormatPr defaultRowHeight="15" x14ac:dyDescent="0.25"/>
  <cols>
    <col min="1" max="1" width="15.5703125" style="5" customWidth="1"/>
    <col min="2" max="2" width="60.42578125" style="2" bestFit="1" customWidth="1"/>
    <col min="3" max="3" width="21.140625" style="2" customWidth="1"/>
    <col min="4" max="13" width="13.5703125" style="2" customWidth="1"/>
    <col min="14" max="14" width="13.5703125" style="1" customWidth="1"/>
    <col min="15" max="15" width="17.5703125" style="2" customWidth="1"/>
    <col min="16" max="16" width="16.85546875" style="2" bestFit="1" customWidth="1"/>
    <col min="17" max="16384" width="9.140625" style="2"/>
  </cols>
  <sheetData>
    <row r="1" spans="1:15" x14ac:dyDescent="0.25">
      <c r="A1" s="4"/>
      <c r="C1" s="6"/>
    </row>
    <row r="2" spans="1:15" x14ac:dyDescent="0.25">
      <c r="C2" s="6"/>
      <c r="E2" s="30">
        <f>'[1]Economic Assum'!E4</f>
        <v>2007</v>
      </c>
      <c r="F2" s="30">
        <f>'[1]Economic Assum'!F4</f>
        <v>2008</v>
      </c>
      <c r="G2" s="30">
        <f>'[1]Economic Assum'!G4</f>
        <v>2009</v>
      </c>
      <c r="H2" s="30">
        <f>'[1]Economic Assum'!H4</f>
        <v>2010</v>
      </c>
      <c r="I2" s="30">
        <f>'[1]Economic Assum'!I4</f>
        <v>2011</v>
      </c>
      <c r="J2" s="30">
        <f>'[1]Economic Assum'!J4</f>
        <v>2012</v>
      </c>
      <c r="K2" s="30">
        <f>'[1]Economic Assum'!K4</f>
        <v>2013</v>
      </c>
      <c r="L2" s="30">
        <f>'[1]Economic Assum'!L4</f>
        <v>2014</v>
      </c>
      <c r="M2" s="30">
        <f>'[1]Economic Assum'!M4</f>
        <v>2015</v>
      </c>
    </row>
    <row r="3" spans="1:15" x14ac:dyDescent="0.25">
      <c r="B3" s="6" t="str">
        <f>'[1]Economic Assum'!B6</f>
        <v>CPI</v>
      </c>
      <c r="C3" s="6"/>
      <c r="D3" s="6"/>
      <c r="E3" s="31">
        <f>'[1]Economic Assum'!E6</f>
        <v>3.9385847797062556E-2</v>
      </c>
      <c r="F3" s="31">
        <f>'[1]Economic Assum'!F6</f>
        <v>1.862556197816323E-2</v>
      </c>
      <c r="G3" s="31">
        <f>'[2]Data 2009-15 (Real $2008)'!D144</f>
        <v>4.9810844892812067E-2</v>
      </c>
      <c r="H3" s="31">
        <f>'[2]Data 2009-15 (Real $2008)'!E144</f>
        <v>1.2612612612612484E-2</v>
      </c>
      <c r="I3" s="31">
        <f>'[2]Data 2009-15 (Real $2008)'!F144</f>
        <v>2.7876631079478242E-2</v>
      </c>
      <c r="J3" s="31">
        <f>'[2]Data 2009-15 (Real $2008)'!G144</f>
        <v>3.5199076745527913E-2</v>
      </c>
      <c r="K3" s="31">
        <f>'[2]Data 2009-15 (Real $2008)'!H144</f>
        <v>2.0040080160320661E-2</v>
      </c>
      <c r="L3" s="31">
        <f>'[2]Data 2009-15 (Real $2008)'!I144</f>
        <v>2.47E-2</v>
      </c>
      <c r="M3" s="31">
        <f>'[2]Data 2009-15 (Real $2008)'!J144</f>
        <v>2.47E-2</v>
      </c>
      <c r="N3" s="31"/>
      <c r="O3" s="12"/>
    </row>
    <row r="4" spans="1:15" x14ac:dyDescent="0.25">
      <c r="B4" s="2" t="s">
        <v>19</v>
      </c>
      <c r="D4" s="37"/>
      <c r="E4" s="29">
        <f>F4/(1+F3)</f>
        <v>0.98171500630517017</v>
      </c>
      <c r="F4" s="29">
        <v>1</v>
      </c>
      <c r="G4" s="29">
        <f t="shared" ref="G4:M4" si="0">F4*(1+G3)</f>
        <v>1.0498108448928121</v>
      </c>
      <c r="H4" s="29">
        <f t="shared" si="0"/>
        <v>1.0630517023959645</v>
      </c>
      <c r="I4" s="29">
        <f t="shared" si="0"/>
        <v>1.0926860025220682</v>
      </c>
      <c r="J4" s="29">
        <f t="shared" si="0"/>
        <v>1.1311475409836065</v>
      </c>
      <c r="K4" s="29">
        <f t="shared" si="0"/>
        <v>1.1538158283780675</v>
      </c>
      <c r="L4" s="29">
        <f t="shared" si="0"/>
        <v>1.1823150793390058</v>
      </c>
      <c r="M4" s="29">
        <f t="shared" si="0"/>
        <v>1.2115182617986793</v>
      </c>
      <c r="O4" s="12"/>
    </row>
    <row r="5" spans="1:15" x14ac:dyDescent="0.25">
      <c r="B5" s="6"/>
      <c r="C5" s="6"/>
      <c r="F5" s="32"/>
      <c r="G5" s="32"/>
      <c r="H5" s="32"/>
      <c r="I5" s="32"/>
      <c r="J5" s="32"/>
      <c r="K5" s="32"/>
      <c r="L5" s="32"/>
      <c r="M5" s="32"/>
      <c r="O5" s="12"/>
    </row>
    <row r="6" spans="1:15" x14ac:dyDescent="0.25">
      <c r="B6" s="5"/>
      <c r="C6" s="5"/>
      <c r="D6" s="202" t="s">
        <v>71</v>
      </c>
      <c r="E6" s="202"/>
      <c r="F6" s="202"/>
      <c r="G6" s="32"/>
      <c r="H6" s="32"/>
      <c r="I6" s="32"/>
      <c r="J6" s="32"/>
      <c r="K6" s="32"/>
      <c r="L6" s="32"/>
      <c r="M6" s="32"/>
      <c r="O6" s="25"/>
    </row>
    <row r="7" spans="1:15" s="8" customFormat="1" x14ac:dyDescent="0.25">
      <c r="A7" s="7" t="s">
        <v>7</v>
      </c>
      <c r="D7" s="8">
        <v>2006</v>
      </c>
      <c r="E7" s="8">
        <f>D7+1</f>
        <v>2007</v>
      </c>
      <c r="F7" s="8">
        <f t="shared" ref="F7:M7" si="1">E7+1</f>
        <v>2008</v>
      </c>
      <c r="G7" s="8">
        <f t="shared" si="1"/>
        <v>2009</v>
      </c>
      <c r="H7" s="8">
        <f t="shared" si="1"/>
        <v>2010</v>
      </c>
      <c r="I7" s="8">
        <f t="shared" si="1"/>
        <v>2011</v>
      </c>
      <c r="J7" s="8">
        <f t="shared" si="1"/>
        <v>2012</v>
      </c>
      <c r="K7" s="8">
        <f t="shared" si="1"/>
        <v>2013</v>
      </c>
      <c r="L7" s="8">
        <f t="shared" si="1"/>
        <v>2014</v>
      </c>
      <c r="M7" s="8">
        <f t="shared" si="1"/>
        <v>2015</v>
      </c>
      <c r="N7" s="9" t="s">
        <v>6</v>
      </c>
      <c r="O7" s="26"/>
    </row>
    <row r="8" spans="1:15" x14ac:dyDescent="0.25">
      <c r="A8" s="10" t="s">
        <v>8</v>
      </c>
    </row>
    <row r="9" spans="1:15" x14ac:dyDescent="0.25">
      <c r="A9" s="10"/>
      <c r="B9" s="19" t="s">
        <v>44</v>
      </c>
      <c r="C9" s="5"/>
    </row>
    <row r="10" spans="1:15" x14ac:dyDescent="0.25">
      <c r="A10" s="10"/>
      <c r="B10" s="87"/>
      <c r="C10" s="11"/>
      <c r="D10" s="1"/>
      <c r="E10" s="1"/>
      <c r="F10" s="1"/>
      <c r="G10" s="1"/>
      <c r="H10" s="1"/>
      <c r="I10" s="1"/>
      <c r="J10" s="1"/>
      <c r="K10" s="1"/>
      <c r="L10" s="1"/>
      <c r="M10" s="1"/>
      <c r="N10" s="1">
        <f>SUM(D10:M10)</f>
        <v>0</v>
      </c>
    </row>
    <row r="11" spans="1:15" x14ac:dyDescent="0.25">
      <c r="A11" s="10"/>
      <c r="B11" s="20" t="s">
        <v>34</v>
      </c>
      <c r="C11" s="11"/>
      <c r="D11" s="1">
        <f>'[7]Data 2006-08'!D105</f>
        <v>0</v>
      </c>
      <c r="E11" s="1">
        <f>'[7]Data 2006-08'!E105</f>
        <v>0</v>
      </c>
      <c r="F11" s="1">
        <f>'[7]Data 2006-08'!F105</f>
        <v>0</v>
      </c>
      <c r="G11" s="1"/>
      <c r="H11" s="1"/>
      <c r="I11" s="1"/>
      <c r="J11" s="1"/>
      <c r="K11" s="1"/>
      <c r="L11" s="1"/>
      <c r="M11" s="1"/>
    </row>
    <row r="12" spans="1:15" x14ac:dyDescent="0.25">
      <c r="A12" s="10"/>
      <c r="B12" s="20" t="s">
        <v>35</v>
      </c>
      <c r="C12" s="11"/>
      <c r="D12" s="1">
        <f>'[7]Data 2006-08'!D106</f>
        <v>0</v>
      </c>
      <c r="E12" s="1">
        <f>'[7]Data 2006-08'!E106</f>
        <v>0</v>
      </c>
      <c r="F12" s="1">
        <f>'[7]Data 2006-08'!F106</f>
        <v>0</v>
      </c>
      <c r="G12" s="1"/>
      <c r="H12" s="1"/>
      <c r="I12" s="1"/>
      <c r="J12" s="1"/>
      <c r="K12" s="1"/>
      <c r="L12" s="1"/>
      <c r="M12" s="1"/>
    </row>
    <row r="13" spans="1:15" x14ac:dyDescent="0.25">
      <c r="A13" s="10"/>
      <c r="B13" s="20" t="s">
        <v>36</v>
      </c>
      <c r="C13" s="11"/>
      <c r="D13" s="1">
        <f>'[7]Data 2006-08'!D107</f>
        <v>0</v>
      </c>
      <c r="E13" s="1">
        <f>'[7]Data 2006-08'!E107</f>
        <v>990000</v>
      </c>
      <c r="F13" s="1">
        <f>'[7]Data 2006-08'!F107</f>
        <v>1010000</v>
      </c>
      <c r="G13" s="1"/>
      <c r="H13" s="1"/>
      <c r="I13" s="1"/>
      <c r="J13" s="1"/>
      <c r="K13" s="1"/>
      <c r="L13" s="1"/>
      <c r="M13" s="1"/>
    </row>
    <row r="14" spans="1:15" x14ac:dyDescent="0.25">
      <c r="A14" s="10"/>
      <c r="B14" s="20" t="s">
        <v>37</v>
      </c>
      <c r="C14" s="11"/>
      <c r="D14" s="1">
        <f>'[7]Data 2006-08'!D108</f>
        <v>0</v>
      </c>
      <c r="E14" s="1">
        <f>'[7]Data 2006-08'!E108</f>
        <v>0</v>
      </c>
      <c r="F14" s="1">
        <f>'[7]Data 2006-08'!F108</f>
        <v>0</v>
      </c>
      <c r="G14" s="1"/>
      <c r="H14" s="1"/>
      <c r="I14" s="1"/>
      <c r="J14" s="1"/>
      <c r="K14" s="1"/>
      <c r="L14" s="1"/>
      <c r="M14" s="1"/>
    </row>
    <row r="15" spans="1:15" x14ac:dyDescent="0.25">
      <c r="A15" s="10"/>
      <c r="B15" s="20" t="s">
        <v>38</v>
      </c>
      <c r="C15" s="11"/>
      <c r="D15" s="1">
        <f>'[7]Data 2006-08'!D109</f>
        <v>0</v>
      </c>
      <c r="E15" s="1">
        <f>'[7]Data 2006-08'!E109</f>
        <v>0</v>
      </c>
      <c r="F15" s="1">
        <f>'[7]Data 2006-08'!F109</f>
        <v>0</v>
      </c>
      <c r="G15" s="1"/>
      <c r="H15" s="1"/>
      <c r="I15" s="1"/>
      <c r="J15" s="1"/>
      <c r="K15" s="1"/>
      <c r="L15" s="1"/>
      <c r="M15" s="1"/>
    </row>
    <row r="16" spans="1:15" x14ac:dyDescent="0.25">
      <c r="A16" s="10"/>
      <c r="B16" s="20" t="s">
        <v>39</v>
      </c>
      <c r="C16" s="11"/>
      <c r="D16" s="1">
        <f>'[7]Data 2006-08'!D110</f>
        <v>0</v>
      </c>
      <c r="E16" s="1">
        <f>'[7]Data 2006-08'!E110</f>
        <v>0</v>
      </c>
      <c r="F16" s="1">
        <f>'[7]Data 2006-08'!F110</f>
        <v>0</v>
      </c>
      <c r="G16" s="1"/>
      <c r="H16" s="1"/>
      <c r="I16" s="1"/>
      <c r="J16" s="1"/>
      <c r="K16" s="1"/>
      <c r="L16" s="1"/>
      <c r="M16" s="1"/>
    </row>
    <row r="17" spans="1:16" x14ac:dyDescent="0.25">
      <c r="A17" s="10"/>
      <c r="B17" s="20" t="s">
        <v>40</v>
      </c>
      <c r="C17" s="11"/>
      <c r="D17" s="1">
        <f>'[7]Data 2006-08'!D111</f>
        <v>0</v>
      </c>
      <c r="E17" s="1">
        <f>'[7]Data 2006-08'!E111</f>
        <v>0</v>
      </c>
      <c r="F17" s="1">
        <f>'[7]Data 2006-08'!F111</f>
        <v>0</v>
      </c>
      <c r="G17" s="1"/>
      <c r="H17" s="1"/>
      <c r="I17" s="1"/>
      <c r="J17" s="1"/>
      <c r="K17" s="1"/>
      <c r="L17" s="1"/>
      <c r="M17" s="1"/>
      <c r="O17" s="33"/>
      <c r="P17" s="36"/>
    </row>
    <row r="18" spans="1:16" x14ac:dyDescent="0.25">
      <c r="A18" s="10"/>
      <c r="B18" s="20" t="s">
        <v>41</v>
      </c>
      <c r="C18" s="12"/>
      <c r="D18" s="1">
        <f>'[7]Data 2006-08'!D112</f>
        <v>0</v>
      </c>
      <c r="E18" s="1">
        <f>'[7]Data 2006-08'!E112</f>
        <v>0</v>
      </c>
      <c r="F18" s="1">
        <f>'[7]Data 2006-08'!F112</f>
        <v>0</v>
      </c>
      <c r="G18" s="1"/>
      <c r="H18" s="1"/>
      <c r="I18" s="1"/>
      <c r="J18" s="1"/>
      <c r="K18" s="1"/>
      <c r="L18" s="1"/>
      <c r="M18" s="1"/>
    </row>
    <row r="19" spans="1:16" x14ac:dyDescent="0.25">
      <c r="B19" s="20" t="s">
        <v>42</v>
      </c>
      <c r="C19" s="12"/>
      <c r="D19" s="1">
        <f>'[7]Data 2006-08'!D113</f>
        <v>0</v>
      </c>
      <c r="E19" s="1">
        <f>'[7]Data 2006-08'!E113</f>
        <v>0</v>
      </c>
      <c r="F19" s="1">
        <f>'[7]Data 2006-08'!F113</f>
        <v>0</v>
      </c>
      <c r="G19" s="1"/>
      <c r="H19" s="1"/>
      <c r="I19" s="1"/>
      <c r="J19" s="1"/>
      <c r="K19" s="1"/>
      <c r="L19" s="1"/>
      <c r="M19" s="1"/>
      <c r="O19" s="33"/>
      <c r="P19" s="36"/>
    </row>
    <row r="20" spans="1:16" x14ac:dyDescent="0.25">
      <c r="B20" s="20" t="s">
        <v>43</v>
      </c>
      <c r="C20" s="12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6" x14ac:dyDescent="0.25">
      <c r="B21" s="86"/>
      <c r="C21" s="12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6" x14ac:dyDescent="0.25">
      <c r="B22" s="88" t="s">
        <v>54</v>
      </c>
      <c r="C22" s="1"/>
      <c r="D22" s="1"/>
      <c r="E22" s="107">
        <f>SUM(E11:E19)</f>
        <v>990000</v>
      </c>
      <c r="F22" s="107">
        <f>SUM(F11:F19)</f>
        <v>1010000</v>
      </c>
      <c r="G22" s="10"/>
      <c r="H22" s="10"/>
      <c r="I22" s="10"/>
      <c r="J22" s="1"/>
      <c r="K22" s="1"/>
      <c r="L22" s="1"/>
      <c r="M22" s="1"/>
    </row>
    <row r="23" spans="1:16" x14ac:dyDescent="0.25">
      <c r="B23" s="88"/>
      <c r="C23" s="1"/>
      <c r="D23" s="1"/>
      <c r="E23" s="10"/>
      <c r="F23" s="10"/>
      <c r="G23" s="10"/>
      <c r="H23" s="10"/>
      <c r="I23" s="10"/>
      <c r="J23" s="1"/>
      <c r="K23" s="1"/>
      <c r="L23" s="1"/>
      <c r="M23" s="1"/>
    </row>
    <row r="24" spans="1:16" x14ac:dyDescent="0.25">
      <c r="B24" s="19" t="s">
        <v>53</v>
      </c>
      <c r="C24" s="1"/>
      <c r="D24" s="1"/>
      <c r="E24" s="10"/>
      <c r="F24" s="10"/>
      <c r="G24" s="10"/>
      <c r="H24" s="10"/>
      <c r="I24" s="10"/>
      <c r="J24" s="1"/>
      <c r="K24" s="1"/>
      <c r="L24" s="1"/>
      <c r="M24" s="1"/>
    </row>
    <row r="25" spans="1:16" x14ac:dyDescent="0.25">
      <c r="B25" s="90"/>
      <c r="C25" s="1"/>
      <c r="D25" s="1"/>
      <c r="E25" s="10"/>
      <c r="F25" s="10"/>
      <c r="G25" s="10"/>
      <c r="H25" s="10"/>
      <c r="I25" s="10"/>
      <c r="J25" s="1"/>
      <c r="K25" s="1"/>
      <c r="L25" s="1"/>
      <c r="M25" s="1"/>
    </row>
    <row r="26" spans="1:16" x14ac:dyDescent="0.25">
      <c r="B26" s="92" t="s">
        <v>45</v>
      </c>
      <c r="C26" s="1"/>
      <c r="D26" s="1"/>
      <c r="E26" s="10"/>
      <c r="F26" s="10"/>
      <c r="G26" s="10"/>
      <c r="H26" s="10"/>
      <c r="I26" s="10"/>
      <c r="J26" s="1"/>
      <c r="K26" s="1"/>
      <c r="L26" s="1"/>
      <c r="M26" s="1"/>
    </row>
    <row r="27" spans="1:16" x14ac:dyDescent="0.25">
      <c r="B27" s="20" t="s">
        <v>46</v>
      </c>
      <c r="C27" s="1"/>
      <c r="D27" s="95">
        <f>'[7]Data 2006-08'!D40</f>
        <v>461000</v>
      </c>
      <c r="E27" s="95">
        <f>'[7]Data 2006-08'!E40</f>
        <v>404000</v>
      </c>
      <c r="F27" s="95">
        <f>'[7]Data 2006-08'!F40</f>
        <v>418000</v>
      </c>
      <c r="G27" s="10"/>
      <c r="H27" s="10"/>
      <c r="I27" s="10"/>
      <c r="J27" s="1"/>
      <c r="K27" s="1"/>
      <c r="L27" s="1"/>
      <c r="M27" s="1"/>
    </row>
    <row r="28" spans="1:16" x14ac:dyDescent="0.25">
      <c r="B28" s="20" t="s">
        <v>47</v>
      </c>
      <c r="C28" s="1"/>
      <c r="D28" s="95">
        <f>'[7]Data 2006-08'!D41</f>
        <v>424569.71921182267</v>
      </c>
      <c r="E28" s="95">
        <f>'[7]Data 2006-08'!E41</f>
        <v>394301.21365235752</v>
      </c>
      <c r="F28" s="95">
        <f>'[7]Data 2006-08'!F41</f>
        <v>364581.07375087967</v>
      </c>
      <c r="G28" s="10"/>
      <c r="H28" s="10"/>
      <c r="I28" s="10"/>
      <c r="J28" s="1"/>
      <c r="K28" s="1"/>
      <c r="L28" s="1"/>
      <c r="M28" s="1"/>
    </row>
    <row r="29" spans="1:16" x14ac:dyDescent="0.25">
      <c r="B29" s="20" t="s">
        <v>6</v>
      </c>
      <c r="C29" s="1"/>
      <c r="D29" s="95">
        <f>'[7]Data 2006-08'!D42</f>
        <v>885569.71921182261</v>
      </c>
      <c r="E29" s="95">
        <f>'[7]Data 2006-08'!E42</f>
        <v>798301.21365235746</v>
      </c>
      <c r="F29" s="95">
        <f>'[7]Data 2006-08'!F42</f>
        <v>782581.07375087962</v>
      </c>
      <c r="G29" s="10"/>
      <c r="H29" s="10"/>
      <c r="I29" s="10"/>
      <c r="J29" s="1"/>
      <c r="K29" s="1"/>
      <c r="L29" s="1"/>
      <c r="M29" s="1"/>
    </row>
    <row r="30" spans="1:16" x14ac:dyDescent="0.25">
      <c r="B30" s="91"/>
      <c r="C30" s="1"/>
      <c r="D30" s="95">
        <f>'[7]Data 2006-08'!D43</f>
        <v>0</v>
      </c>
      <c r="E30" s="95">
        <f>'[7]Data 2006-08'!E43</f>
        <v>0</v>
      </c>
      <c r="F30" s="95">
        <f>'[7]Data 2006-08'!F43</f>
        <v>0</v>
      </c>
      <c r="G30" s="10"/>
      <c r="H30" s="10"/>
      <c r="I30" s="10"/>
      <c r="J30" s="1"/>
      <c r="K30" s="1"/>
      <c r="L30" s="1"/>
      <c r="M30" s="1"/>
    </row>
    <row r="31" spans="1:16" x14ac:dyDescent="0.25">
      <c r="B31" s="92" t="s">
        <v>48</v>
      </c>
      <c r="C31" s="1"/>
      <c r="D31" s="95">
        <f>'[7]Data 2006-08'!D44</f>
        <v>0</v>
      </c>
      <c r="E31" s="95">
        <f>'[7]Data 2006-08'!E44</f>
        <v>0</v>
      </c>
      <c r="F31" s="95">
        <f>'[7]Data 2006-08'!F44</f>
        <v>0</v>
      </c>
      <c r="G31" s="10"/>
      <c r="H31" s="10"/>
      <c r="I31" s="10"/>
      <c r="J31" s="1"/>
      <c r="K31" s="1"/>
      <c r="L31" s="1"/>
      <c r="M31" s="1"/>
    </row>
    <row r="32" spans="1:16" x14ac:dyDescent="0.25">
      <c r="B32" s="20" t="s">
        <v>49</v>
      </c>
      <c r="C32" s="1"/>
      <c r="D32" s="95">
        <f>'[7]Data 2006-08'!D45</f>
        <v>6239647</v>
      </c>
      <c r="E32" s="95">
        <f>'[7]Data 2006-08'!E45</f>
        <v>6244802</v>
      </c>
      <c r="F32" s="95">
        <f>'[7]Data 2006-08'!F45</f>
        <v>6537381.6775821038</v>
      </c>
      <c r="G32" s="10"/>
      <c r="H32" s="10"/>
      <c r="I32" s="10"/>
      <c r="J32" s="1"/>
      <c r="K32" s="1"/>
      <c r="L32" s="1"/>
      <c r="M32" s="1"/>
    </row>
    <row r="33" spans="1:16" x14ac:dyDescent="0.25">
      <c r="B33" s="20" t="s">
        <v>50</v>
      </c>
      <c r="C33" s="1"/>
      <c r="D33" s="95">
        <f>'[7]Data 2006-08'!D46</f>
        <v>10783.280788177339</v>
      </c>
      <c r="E33" s="95">
        <f>'[7]Data 2006-08'!E46</f>
        <v>18896.786347642501</v>
      </c>
      <c r="F33" s="95">
        <f>'[7]Data 2006-08'!F46</f>
        <v>7417.9262491203353</v>
      </c>
      <c r="G33" s="10"/>
      <c r="H33" s="10"/>
      <c r="I33" s="10"/>
      <c r="J33" s="1"/>
      <c r="K33" s="1"/>
      <c r="L33" s="1"/>
      <c r="M33" s="1"/>
    </row>
    <row r="34" spans="1:16" x14ac:dyDescent="0.25">
      <c r="B34" s="20" t="s">
        <v>51</v>
      </c>
      <c r="C34" s="1"/>
      <c r="D34" s="95">
        <f>'[7]Data 2006-08'!D47</f>
        <v>0</v>
      </c>
      <c r="E34" s="95">
        <f>'[7]Data 2006-08'!E47</f>
        <v>0</v>
      </c>
      <c r="F34" s="95">
        <f>'[7]Data 2006-08'!F47</f>
        <v>0</v>
      </c>
      <c r="G34" s="10"/>
      <c r="H34" s="10"/>
      <c r="I34" s="10"/>
      <c r="J34" s="1"/>
      <c r="K34" s="1"/>
      <c r="L34" s="1"/>
      <c r="M34" s="1"/>
    </row>
    <row r="35" spans="1:16" x14ac:dyDescent="0.25">
      <c r="B35" s="20" t="s">
        <v>6</v>
      </c>
      <c r="C35" s="1"/>
      <c r="D35" s="95">
        <f>'[7]Data 2006-08'!D48</f>
        <v>6250430.2807881776</v>
      </c>
      <c r="E35" s="95">
        <f>'[7]Data 2006-08'!E48</f>
        <v>6263698.7863476425</v>
      </c>
      <c r="F35" s="95">
        <f>'[7]Data 2006-08'!F48</f>
        <v>6544799.6038312241</v>
      </c>
      <c r="G35" s="10"/>
      <c r="H35" s="10"/>
      <c r="I35" s="10"/>
      <c r="J35" s="1"/>
      <c r="K35" s="1"/>
      <c r="L35" s="1"/>
      <c r="M35" s="1"/>
    </row>
    <row r="36" spans="1:16" x14ac:dyDescent="0.25">
      <c r="B36" s="20"/>
      <c r="C36" s="1"/>
      <c r="D36" s="95">
        <f>'[7]Data 2006-08'!D49</f>
        <v>0</v>
      </c>
      <c r="E36" s="95">
        <f>'[7]Data 2006-08'!E49</f>
        <v>0</v>
      </c>
      <c r="F36" s="95">
        <f>'[7]Data 2006-08'!F49</f>
        <v>0</v>
      </c>
      <c r="G36" s="10"/>
      <c r="H36" s="10"/>
      <c r="I36" s="10"/>
      <c r="J36" s="1"/>
      <c r="K36" s="1"/>
      <c r="L36" s="1"/>
      <c r="M36" s="1"/>
    </row>
    <row r="37" spans="1:16" x14ac:dyDescent="0.25">
      <c r="B37" s="88" t="s">
        <v>52</v>
      </c>
      <c r="C37" s="1"/>
      <c r="D37" s="10">
        <f>'[7]Data 2006-08'!D50</f>
        <v>7136000</v>
      </c>
      <c r="E37" s="10">
        <f>'[7]Data 2006-08'!E50</f>
        <v>7062000</v>
      </c>
      <c r="F37" s="10">
        <f>'[7]Data 2006-08'!F50</f>
        <v>7327380.6775821038</v>
      </c>
      <c r="G37" s="107">
        <f>'[7]Data 2009-11'!D$55</f>
        <v>14023247.5320845</v>
      </c>
      <c r="H37" s="107">
        <f>'[7]Data 2009-11'!E$55</f>
        <v>16011951</v>
      </c>
      <c r="I37" s="107">
        <f>'[7]Data 2009-11'!F$55</f>
        <v>27357162.129999992</v>
      </c>
      <c r="J37" s="107">
        <f>'[7]DNSP Data Inputs 2012-15'!G$55</f>
        <v>28992776.890000001</v>
      </c>
      <c r="K37" s="107">
        <f>'[7]DNSP Data Inputs 2012-15'!H$55</f>
        <v>25671467.070630923</v>
      </c>
      <c r="L37" s="107">
        <f>'[7]DNSP Data Inputs 2012-15'!I$55</f>
        <v>23033592.454973835</v>
      </c>
      <c r="M37" s="107">
        <f>'[7]DNSP Data Inputs 2012-15'!J$55</f>
        <v>23277210.402896699</v>
      </c>
    </row>
    <row r="38" spans="1:16" s="15" customFormat="1" x14ac:dyDescent="0.25">
      <c r="A38" s="7"/>
      <c r="B38" s="13"/>
      <c r="C38" s="13"/>
      <c r="D38" s="14"/>
      <c r="E38" s="14"/>
      <c r="F38" s="14"/>
      <c r="G38" s="14"/>
      <c r="H38" s="14"/>
      <c r="I38" s="14"/>
      <c r="N38" s="14"/>
    </row>
    <row r="39" spans="1:16" s="17" customFormat="1" x14ac:dyDescent="0.25">
      <c r="A39" s="4"/>
      <c r="B39" s="16"/>
      <c r="C39" s="16"/>
      <c r="D39" s="3"/>
      <c r="E39" s="3"/>
      <c r="F39" s="3"/>
      <c r="G39" s="3"/>
      <c r="H39" s="3"/>
      <c r="I39" s="3"/>
      <c r="N39" s="3"/>
    </row>
    <row r="40" spans="1:16" s="17" customFormat="1" x14ac:dyDescent="0.25">
      <c r="A40" s="18" t="s">
        <v>9</v>
      </c>
      <c r="B40" s="19" t="str">
        <f>B9</f>
        <v>OPERATING &amp; MAINTENANCE EXPENDITURE (Pre Start Date)</v>
      </c>
      <c r="C40" s="19"/>
    </row>
    <row r="41" spans="1:16" s="17" customFormat="1" x14ac:dyDescent="0.25">
      <c r="A41" s="18"/>
      <c r="B41" s="20"/>
      <c r="C41" s="20"/>
      <c r="D41" s="3"/>
      <c r="E41" s="3"/>
      <c r="F41" s="3"/>
      <c r="G41" s="3"/>
      <c r="H41" s="3"/>
      <c r="I41" s="3"/>
      <c r="J41" s="3"/>
      <c r="K41" s="3"/>
      <c r="L41" s="3"/>
      <c r="M41" s="3"/>
      <c r="N41" s="1">
        <f>SUM(D41:M41)</f>
        <v>0</v>
      </c>
    </row>
    <row r="42" spans="1:16" s="17" customFormat="1" x14ac:dyDescent="0.25">
      <c r="A42" s="18"/>
      <c r="B42" s="20" t="str">
        <f t="shared" ref="B42:B51" si="2">B11</f>
        <v>Telecommunications systems - WAN / 'Backhaul'</v>
      </c>
      <c r="C42" s="20"/>
      <c r="D42" s="3">
        <f>'[8]Data 2006-08'!D105</f>
        <v>0</v>
      </c>
      <c r="E42" s="3">
        <f>'[8]Data 2006-08'!E105</f>
        <v>0</v>
      </c>
      <c r="F42" s="3">
        <f>'[8]Data 2006-08'!F105</f>
        <v>0</v>
      </c>
      <c r="G42" s="3"/>
      <c r="H42" s="3"/>
      <c r="I42" s="3"/>
      <c r="J42" s="3"/>
      <c r="K42" s="3"/>
      <c r="L42" s="3"/>
      <c r="M42" s="3"/>
      <c r="N42" s="1"/>
    </row>
    <row r="43" spans="1:16" s="17" customFormat="1" x14ac:dyDescent="0.25">
      <c r="A43" s="18"/>
      <c r="B43" s="20" t="str">
        <f t="shared" si="2"/>
        <v>IT systems</v>
      </c>
      <c r="C43" s="20"/>
      <c r="D43" s="3">
        <f>'[8]Data 2006-08'!D106</f>
        <v>0</v>
      </c>
      <c r="E43" s="3">
        <f>'[8]Data 2006-08'!E106</f>
        <v>499385.93479999999</v>
      </c>
      <c r="F43" s="3">
        <f>'[8]Data 2006-08'!F106</f>
        <v>1535317.135</v>
      </c>
      <c r="G43" s="3"/>
      <c r="H43" s="3"/>
      <c r="I43" s="3"/>
      <c r="J43" s="3"/>
      <c r="K43" s="3"/>
      <c r="L43" s="3"/>
      <c r="M43" s="3"/>
      <c r="N43" s="1"/>
    </row>
    <row r="44" spans="1:16" s="17" customFormat="1" x14ac:dyDescent="0.25">
      <c r="A44" s="18"/>
      <c r="B44" s="20" t="str">
        <f t="shared" si="2"/>
        <v>Technology trials</v>
      </c>
      <c r="C44" s="20"/>
      <c r="D44" s="3">
        <f>'[8]Data 2006-08'!D107</f>
        <v>60639.99</v>
      </c>
      <c r="E44" s="3">
        <f>'[8]Data 2006-08'!E107</f>
        <v>1664894.4995230739</v>
      </c>
      <c r="F44" s="3">
        <f>'[8]Data 2006-08'!F107</f>
        <v>2447.6852999999956</v>
      </c>
      <c r="G44" s="3"/>
      <c r="H44" s="3"/>
      <c r="I44" s="3"/>
      <c r="J44" s="3"/>
      <c r="K44" s="3"/>
      <c r="L44" s="3"/>
      <c r="M44" s="3"/>
      <c r="N44" s="1"/>
    </row>
    <row r="45" spans="1:16" s="17" customFormat="1" x14ac:dyDescent="0.25">
      <c r="A45" s="18"/>
      <c r="B45" s="20" t="str">
        <f t="shared" si="2"/>
        <v>Customer response trials</v>
      </c>
      <c r="C45" s="20"/>
      <c r="D45" s="3">
        <f>'[8]Data 2006-08'!D108</f>
        <v>0</v>
      </c>
      <c r="E45" s="3">
        <f>'[8]Data 2006-08'!E108</f>
        <v>0</v>
      </c>
      <c r="F45" s="3">
        <f>'[8]Data 2006-08'!F108</f>
        <v>0</v>
      </c>
      <c r="G45" s="3"/>
      <c r="H45" s="3"/>
      <c r="I45" s="3"/>
      <c r="J45" s="3"/>
      <c r="K45" s="3"/>
      <c r="L45" s="3"/>
      <c r="M45" s="3"/>
      <c r="N45" s="1"/>
    </row>
    <row r="46" spans="1:16" s="17" customFormat="1" x14ac:dyDescent="0.25">
      <c r="A46" s="18"/>
      <c r="B46" s="20" t="str">
        <f t="shared" si="2"/>
        <v>Project management including training and project office</v>
      </c>
      <c r="C46" s="20"/>
      <c r="D46" s="3">
        <f>'[8]Data 2006-08'!D109</f>
        <v>1213000</v>
      </c>
      <c r="E46" s="3">
        <f>'[8]Data 2006-08'!E109</f>
        <v>3501090.9819832309</v>
      </c>
      <c r="F46" s="3">
        <f>'[8]Data 2006-08'!F109</f>
        <v>7560461.2647709977</v>
      </c>
      <c r="G46" s="3"/>
      <c r="H46" s="3"/>
      <c r="I46" s="3"/>
      <c r="J46" s="3"/>
      <c r="K46" s="3"/>
      <c r="L46" s="3"/>
      <c r="M46" s="3"/>
      <c r="N46" s="1"/>
    </row>
    <row r="47" spans="1:16" s="17" customFormat="1" x14ac:dyDescent="0.25">
      <c r="A47" s="18"/>
      <c r="B47" s="20" t="str">
        <f t="shared" si="2"/>
        <v>Customer service costs</v>
      </c>
      <c r="C47" s="20"/>
      <c r="D47" s="3">
        <f>'[8]Data 2006-08'!D110</f>
        <v>0</v>
      </c>
      <c r="E47" s="3">
        <f>'[8]Data 2006-08'!E110</f>
        <v>0</v>
      </c>
      <c r="F47" s="3">
        <f>'[8]Data 2006-08'!F110</f>
        <v>0</v>
      </c>
      <c r="G47" s="3"/>
      <c r="H47" s="3"/>
      <c r="I47" s="3"/>
      <c r="J47" s="3"/>
      <c r="K47" s="3"/>
      <c r="L47" s="3"/>
      <c r="M47" s="3"/>
      <c r="N47" s="1"/>
    </row>
    <row r="48" spans="1:16" s="17" customFormat="1" x14ac:dyDescent="0.25">
      <c r="A48" s="18"/>
      <c r="B48" s="20" t="str">
        <f t="shared" si="2"/>
        <v>Other costs of provision of reg. services</v>
      </c>
      <c r="C48" s="20"/>
      <c r="D48" s="3">
        <f>'[8]Data 2006-08'!D111</f>
        <v>255024.31979254476</v>
      </c>
      <c r="E48" s="3">
        <f>'[8]Data 2006-08'!E111</f>
        <v>192338.65197024439</v>
      </c>
      <c r="F48" s="3">
        <f>'[8]Data 2006-08'!F111</f>
        <v>472803.03936028399</v>
      </c>
      <c r="G48" s="3"/>
      <c r="H48" s="3"/>
      <c r="I48" s="3"/>
      <c r="J48" s="3"/>
      <c r="K48" s="3"/>
      <c r="L48" s="3"/>
      <c r="M48" s="3"/>
      <c r="N48" s="1"/>
      <c r="O48" s="34"/>
      <c r="P48" s="36"/>
    </row>
    <row r="49" spans="1:16" s="17" customFormat="1" x14ac:dyDescent="0.25">
      <c r="A49" s="18"/>
      <c r="B49" s="20" t="str">
        <f t="shared" si="2"/>
        <v>Indirect costs</v>
      </c>
      <c r="C49" s="16"/>
      <c r="D49" s="3">
        <f>'[8]Data 2006-08'!D112</f>
        <v>0</v>
      </c>
      <c r="E49" s="3">
        <f>'[8]Data 2006-08'!E112</f>
        <v>0</v>
      </c>
      <c r="F49" s="3">
        <f>'[8]Data 2006-08'!F112</f>
        <v>0</v>
      </c>
      <c r="G49" s="3"/>
      <c r="H49" s="3"/>
      <c r="I49" s="3"/>
      <c r="J49" s="3"/>
      <c r="K49" s="3"/>
      <c r="L49" s="3"/>
      <c r="M49" s="3"/>
      <c r="N49" s="1"/>
      <c r="P49" s="2"/>
    </row>
    <row r="50" spans="1:16" s="17" customFormat="1" x14ac:dyDescent="0.25">
      <c r="A50" s="4"/>
      <c r="B50" s="20" t="str">
        <f t="shared" si="2"/>
        <v>Funding:  - Equity raising</v>
      </c>
      <c r="C50" s="19"/>
      <c r="D50" s="3">
        <f>'[8]Data 2006-08'!D113</f>
        <v>0</v>
      </c>
      <c r="E50" s="3">
        <f>'[8]Data 2006-08'!E113</f>
        <v>0</v>
      </c>
      <c r="F50" s="3">
        <f>'[8]Data 2006-08'!F113</f>
        <v>0</v>
      </c>
      <c r="G50" s="3"/>
      <c r="H50" s="3"/>
      <c r="I50" s="3"/>
      <c r="J50" s="3"/>
      <c r="K50" s="3"/>
      <c r="L50" s="3"/>
      <c r="M50" s="3"/>
      <c r="N50" s="1"/>
      <c r="O50" s="34"/>
      <c r="P50" s="36"/>
    </row>
    <row r="51" spans="1:16" s="17" customFormat="1" x14ac:dyDescent="0.25">
      <c r="A51" s="4"/>
      <c r="B51" s="20" t="str">
        <f t="shared" si="2"/>
        <v xml:space="preserve">                 - Interest and exchange rate hedging costs</v>
      </c>
      <c r="C51" s="19"/>
      <c r="D51" s="3">
        <f>'[8]Data 2006-08'!D114</f>
        <v>0</v>
      </c>
      <c r="E51" s="3">
        <f>'[8]Data 2006-08'!E114</f>
        <v>0</v>
      </c>
      <c r="F51" s="3">
        <f>'[8]Data 2006-08'!F114</f>
        <v>0</v>
      </c>
      <c r="G51" s="3"/>
      <c r="H51" s="3"/>
      <c r="I51" s="3"/>
      <c r="J51" s="3"/>
      <c r="K51" s="3"/>
      <c r="L51" s="3"/>
      <c r="M51" s="3"/>
      <c r="N51" s="3"/>
    </row>
    <row r="52" spans="1:16" s="17" customFormat="1" x14ac:dyDescent="0.25">
      <c r="A52" s="4"/>
      <c r="B52" s="20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6" s="17" customFormat="1" x14ac:dyDescent="0.25">
      <c r="A53" s="4"/>
      <c r="B53" s="89" t="str">
        <f>B22</f>
        <v>Total Pre State Date O&amp;M</v>
      </c>
      <c r="C53" s="1"/>
      <c r="D53" s="105">
        <f>SUM(D42:D51)</f>
        <v>1528664.3097925447</v>
      </c>
      <c r="E53" s="105">
        <f t="shared" ref="E53:F53" si="3">SUM(E42:E51)</f>
        <v>5857710.0682765488</v>
      </c>
      <c r="F53" s="105">
        <f t="shared" si="3"/>
        <v>9571029.1244312823</v>
      </c>
      <c r="J53" s="3"/>
      <c r="K53" s="3"/>
      <c r="L53" s="3"/>
      <c r="M53" s="3"/>
      <c r="N53" s="3"/>
    </row>
    <row r="54" spans="1:16" s="17" customFormat="1" x14ac:dyDescent="0.25">
      <c r="A54" s="4"/>
      <c r="B54" s="89">
        <f t="shared" ref="B54:B68" si="4">B23</f>
        <v>0</v>
      </c>
      <c r="C54" s="1"/>
      <c r="D54" s="18"/>
      <c r="E54" s="18"/>
      <c r="F54" s="18"/>
      <c r="G54" s="3"/>
      <c r="H54" s="3"/>
      <c r="I54" s="3"/>
      <c r="J54" s="3"/>
      <c r="K54" s="3"/>
      <c r="L54" s="3"/>
      <c r="M54" s="3"/>
      <c r="N54" s="3"/>
    </row>
    <row r="55" spans="1:16" s="17" customFormat="1" x14ac:dyDescent="0.25">
      <c r="A55" s="4"/>
      <c r="B55" s="89" t="str">
        <f t="shared" si="4"/>
        <v>O &amp; M EXPENDITURE</v>
      </c>
      <c r="C55" s="1"/>
      <c r="D55" s="18"/>
      <c r="E55" s="18"/>
      <c r="F55" s="18"/>
      <c r="G55" s="3"/>
      <c r="H55" s="3"/>
      <c r="I55" s="3"/>
      <c r="J55" s="3"/>
      <c r="K55" s="3"/>
      <c r="L55" s="3"/>
      <c r="M55" s="3"/>
      <c r="N55" s="3"/>
    </row>
    <row r="56" spans="1:16" s="17" customFormat="1" x14ac:dyDescent="0.25">
      <c r="A56" s="4"/>
      <c r="B56" s="89">
        <f t="shared" si="4"/>
        <v>0</v>
      </c>
      <c r="C56" s="1"/>
      <c r="D56" s="18"/>
      <c r="E56" s="18"/>
      <c r="F56" s="18"/>
      <c r="G56" s="3"/>
      <c r="H56" s="3"/>
      <c r="I56" s="3"/>
      <c r="J56" s="3"/>
      <c r="K56" s="3"/>
      <c r="L56" s="3"/>
      <c r="M56" s="3"/>
      <c r="N56" s="3"/>
    </row>
    <row r="57" spans="1:16" s="17" customFormat="1" x14ac:dyDescent="0.25">
      <c r="A57" s="4"/>
      <c r="B57" s="89" t="str">
        <f t="shared" si="4"/>
        <v>Maintenance costs</v>
      </c>
      <c r="C57" s="1"/>
      <c r="D57" s="18"/>
      <c r="E57" s="18"/>
      <c r="F57" s="18"/>
      <c r="G57" s="3"/>
      <c r="H57" s="3"/>
      <c r="I57" s="3"/>
      <c r="J57" s="3"/>
      <c r="K57" s="3"/>
      <c r="L57" s="3"/>
      <c r="M57" s="3"/>
      <c r="N57" s="3"/>
    </row>
    <row r="58" spans="1:16" s="17" customFormat="1" x14ac:dyDescent="0.25">
      <c r="A58" s="4"/>
      <c r="B58" s="22" t="str">
        <f t="shared" si="4"/>
        <v>Standard metering (accumulation meters and interval meters)</v>
      </c>
      <c r="C58" s="1"/>
      <c r="D58" s="27">
        <f>'[8]Data 2006-08'!D40</f>
        <v>845937.06489649508</v>
      </c>
      <c r="E58" s="27">
        <f>'[8]Data 2006-08'!E40</f>
        <v>996010.34727968555</v>
      </c>
      <c r="F58" s="27">
        <f>'[8]Data 2006-08'!F40</f>
        <v>707136.82785838749</v>
      </c>
      <c r="G58" s="3"/>
      <c r="H58" s="3"/>
      <c r="I58" s="3"/>
      <c r="J58" s="3"/>
      <c r="K58" s="3"/>
      <c r="L58" s="3"/>
      <c r="M58" s="3"/>
      <c r="N58" s="3"/>
    </row>
    <row r="59" spans="1:16" s="17" customFormat="1" x14ac:dyDescent="0.25">
      <c r="A59" s="4"/>
      <c r="B59" s="22" t="str">
        <f t="shared" si="4"/>
        <v>Metering data services (IT related)</v>
      </c>
      <c r="C59" s="1"/>
      <c r="D59" s="27">
        <f>'[8]Data 2006-08'!D41</f>
        <v>1239098.503989053</v>
      </c>
      <c r="E59" s="27">
        <f>'[8]Data 2006-08'!E41</f>
        <v>1212055.5811555262</v>
      </c>
      <c r="F59" s="27">
        <f>'[8]Data 2006-08'!F41</f>
        <v>884890.27122668817</v>
      </c>
      <c r="G59" s="3"/>
      <c r="H59" s="3"/>
      <c r="I59" s="3"/>
      <c r="J59" s="3"/>
      <c r="K59" s="3"/>
      <c r="L59" s="3"/>
      <c r="M59" s="3"/>
      <c r="N59" s="3"/>
    </row>
    <row r="60" spans="1:16" s="17" customFormat="1" x14ac:dyDescent="0.25">
      <c r="A60" s="4"/>
      <c r="B60" s="22" t="str">
        <f t="shared" si="4"/>
        <v>Total</v>
      </c>
      <c r="C60" s="1"/>
      <c r="D60" s="27">
        <f>'[8]Data 2006-08'!D42</f>
        <v>2085035.568885548</v>
      </c>
      <c r="E60" s="27">
        <f>'[8]Data 2006-08'!E42</f>
        <v>2208065.928435212</v>
      </c>
      <c r="F60" s="27">
        <f>'[8]Data 2006-08'!F42</f>
        <v>1592027.0990850758</v>
      </c>
      <c r="G60" s="3"/>
      <c r="H60" s="3"/>
      <c r="I60" s="3"/>
      <c r="J60" s="3"/>
      <c r="K60" s="3"/>
      <c r="L60" s="3"/>
      <c r="M60" s="3"/>
      <c r="N60" s="3"/>
    </row>
    <row r="61" spans="1:16" s="17" customFormat="1" x14ac:dyDescent="0.25">
      <c r="A61" s="4"/>
      <c r="B61" s="89">
        <f t="shared" si="4"/>
        <v>0</v>
      </c>
      <c r="C61" s="1"/>
      <c r="D61" s="27">
        <f>'[8]Data 2006-08'!D43</f>
        <v>0</v>
      </c>
      <c r="E61" s="27">
        <f>'[8]Data 2006-08'!E43</f>
        <v>0</v>
      </c>
      <c r="F61" s="27">
        <f>'[8]Data 2006-08'!F43</f>
        <v>0</v>
      </c>
      <c r="G61" s="3"/>
      <c r="H61" s="3"/>
      <c r="I61" s="3"/>
      <c r="J61" s="3"/>
      <c r="K61" s="3"/>
      <c r="L61" s="3"/>
      <c r="M61" s="3"/>
      <c r="N61" s="3"/>
    </row>
    <row r="62" spans="1:16" s="17" customFormat="1" x14ac:dyDescent="0.25">
      <c r="A62" s="4"/>
      <c r="B62" s="89" t="str">
        <f t="shared" si="4"/>
        <v>Operating costs</v>
      </c>
      <c r="C62" s="1"/>
      <c r="D62" s="27">
        <f>'[8]Data 2006-08'!D44</f>
        <v>0</v>
      </c>
      <c r="E62" s="27">
        <f>'[8]Data 2006-08'!E44</f>
        <v>0</v>
      </c>
      <c r="F62" s="27">
        <f>'[8]Data 2006-08'!F44</f>
        <v>0</v>
      </c>
      <c r="G62" s="3"/>
      <c r="H62" s="3"/>
      <c r="I62" s="3"/>
      <c r="J62" s="3"/>
      <c r="K62" s="3"/>
      <c r="L62" s="3"/>
      <c r="M62" s="3"/>
      <c r="N62" s="3"/>
    </row>
    <row r="63" spans="1:16" s="17" customFormat="1" x14ac:dyDescent="0.25">
      <c r="A63" s="4"/>
      <c r="B63" s="22" t="str">
        <f t="shared" si="4"/>
        <v>Metering data services</v>
      </c>
      <c r="C63" s="1"/>
      <c r="D63" s="27">
        <f>'[8]Data 2006-08'!D45</f>
        <v>4990149.8962514158</v>
      </c>
      <c r="E63" s="27">
        <f>'[8]Data 2006-08'!E45</f>
        <v>4950865.0806182912</v>
      </c>
      <c r="F63" s="27">
        <f>'[8]Data 2006-08'!F45</f>
        <v>5341167.6142753046</v>
      </c>
      <c r="G63" s="3"/>
      <c r="H63" s="3"/>
      <c r="I63" s="3"/>
      <c r="J63" s="3"/>
      <c r="K63" s="3"/>
      <c r="L63" s="3"/>
      <c r="M63" s="3"/>
      <c r="N63" s="3"/>
    </row>
    <row r="64" spans="1:16" s="17" customFormat="1" x14ac:dyDescent="0.25">
      <c r="A64" s="4"/>
      <c r="B64" s="22" t="str">
        <f t="shared" si="4"/>
        <v>Customer services (meter replacements)</v>
      </c>
      <c r="C64" s="1"/>
      <c r="D64" s="27">
        <f>'[8]Data 2006-08'!D46</f>
        <v>239142.0949747758</v>
      </c>
      <c r="E64" s="27">
        <f>'[8]Data 2006-08'!E46</f>
        <v>207431.66436038926</v>
      </c>
      <c r="F64" s="27">
        <f>'[8]Data 2006-08'!F46</f>
        <v>334398.38757395191</v>
      </c>
      <c r="G64" s="3"/>
      <c r="H64" s="3"/>
      <c r="I64" s="3"/>
      <c r="J64" s="3"/>
      <c r="K64" s="3"/>
      <c r="L64" s="3"/>
      <c r="M64" s="3"/>
      <c r="N64" s="3"/>
    </row>
    <row r="65" spans="1:16" s="17" customFormat="1" x14ac:dyDescent="0.25">
      <c r="A65" s="4"/>
      <c r="B65" s="22" t="str">
        <f t="shared" si="4"/>
        <v>Indirect Overheads</v>
      </c>
      <c r="C65" s="1"/>
      <c r="D65" s="27">
        <f>'[8]Data 2006-08'!D47</f>
        <v>113778.50490563316</v>
      </c>
      <c r="E65" s="27">
        <f>'[8]Data 2006-08'!E47</f>
        <v>97822.167596246582</v>
      </c>
      <c r="F65" s="27">
        <f>'[8]Data 2006-08'!F47</f>
        <v>39422.778339117649</v>
      </c>
      <c r="G65" s="3"/>
      <c r="H65" s="3"/>
      <c r="I65" s="3"/>
      <c r="J65" s="3"/>
      <c r="K65" s="3"/>
      <c r="L65" s="3"/>
      <c r="M65" s="3"/>
      <c r="N65" s="3"/>
    </row>
    <row r="66" spans="1:16" s="17" customFormat="1" x14ac:dyDescent="0.25">
      <c r="A66" s="4"/>
      <c r="B66" s="22" t="str">
        <f t="shared" si="4"/>
        <v>Total</v>
      </c>
      <c r="C66" s="1"/>
      <c r="D66" s="27">
        <f>'[8]Data 2006-08'!D48</f>
        <v>5343070.4961318243</v>
      </c>
      <c r="E66" s="27">
        <f>'[8]Data 2006-08'!E48</f>
        <v>5256118.9125749264</v>
      </c>
      <c r="F66" s="27">
        <f>'[8]Data 2006-08'!F48</f>
        <v>5714988.7801883742</v>
      </c>
      <c r="G66" s="3"/>
      <c r="H66" s="3"/>
      <c r="I66" s="3"/>
      <c r="J66" s="3"/>
      <c r="K66" s="3"/>
      <c r="L66" s="3"/>
      <c r="M66" s="3"/>
      <c r="N66" s="3"/>
    </row>
    <row r="67" spans="1:16" s="17" customFormat="1" x14ac:dyDescent="0.25">
      <c r="A67" s="4"/>
      <c r="B67" s="89">
        <f t="shared" si="4"/>
        <v>0</v>
      </c>
      <c r="C67" s="1"/>
      <c r="D67" s="27">
        <f>'[8]Data 2006-08'!D49</f>
        <v>0</v>
      </c>
      <c r="E67" s="27">
        <f>'[8]Data 2006-08'!E49</f>
        <v>0</v>
      </c>
      <c r="F67" s="27">
        <f>'[8]Data 2006-08'!F49</f>
        <v>0</v>
      </c>
      <c r="G67" s="3"/>
      <c r="H67" s="3"/>
      <c r="I67" s="3"/>
      <c r="J67" s="3"/>
      <c r="K67" s="3"/>
      <c r="L67" s="3"/>
      <c r="M67" s="3"/>
      <c r="N67" s="3"/>
    </row>
    <row r="68" spans="1:16" s="17" customFormat="1" x14ac:dyDescent="0.25">
      <c r="A68" s="4"/>
      <c r="B68" s="89" t="str">
        <f t="shared" si="4"/>
        <v>TOTAL O&amp;M Expenditure</v>
      </c>
      <c r="C68" s="1"/>
      <c r="D68" s="18">
        <f>'[8]Data 2006-08'!D50</f>
        <v>7428106.0650173724</v>
      </c>
      <c r="E68" s="18">
        <f>'[8]Data 2006-08'!E50</f>
        <v>7464184.8410101384</v>
      </c>
      <c r="F68" s="18">
        <f>'[8]Data 2006-08'!F50</f>
        <v>7307015.87927345</v>
      </c>
      <c r="G68" s="105">
        <f>'[8]Data 2009-11'!D$55</f>
        <v>24814068.844235312</v>
      </c>
      <c r="H68" s="105">
        <f>'[8]Data 2009-11'!E$55</f>
        <v>19953460.2551184</v>
      </c>
      <c r="I68" s="105">
        <f>'[8]Data 2009-11'!F$55</f>
        <v>26822517.64150586</v>
      </c>
      <c r="J68" s="105">
        <f>'[8]DNSP Data Inputs 2012-15'!$G$55</f>
        <v>22519258.547136702</v>
      </c>
      <c r="K68" s="105">
        <f>'[8]DNSP Data Inputs 2012-15'!$G$55</f>
        <v>22519258.547136702</v>
      </c>
      <c r="L68" s="105">
        <f>'[8]DNSP Data Inputs 2012-15'!$G$55</f>
        <v>22519258.547136702</v>
      </c>
      <c r="M68" s="105">
        <f>'[8]DNSP Data Inputs 2012-15'!$G$55</f>
        <v>22519258.547136702</v>
      </c>
      <c r="N68" s="3"/>
    </row>
    <row r="69" spans="1:16" s="15" customFormat="1" x14ac:dyDescent="0.25">
      <c r="A69" s="7"/>
      <c r="B69" s="13"/>
      <c r="C69" s="13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</row>
    <row r="70" spans="1:16" s="17" customFormat="1" x14ac:dyDescent="0.25">
      <c r="A70" s="4"/>
      <c r="B70" s="16"/>
      <c r="C70" s="1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6" s="17" customFormat="1" x14ac:dyDescent="0.25">
      <c r="A71" s="18" t="s">
        <v>11</v>
      </c>
      <c r="B71" s="19" t="str">
        <f>B40</f>
        <v>OPERATING &amp; MAINTENANCE EXPENDITURE (Pre Start Date)</v>
      </c>
      <c r="C71" s="19"/>
    </row>
    <row r="72" spans="1:16" s="17" customFormat="1" x14ac:dyDescent="0.25">
      <c r="A72" s="4"/>
      <c r="B72" s="20"/>
      <c r="C72" s="20"/>
      <c r="D72" s="3"/>
      <c r="E72" s="3"/>
      <c r="F72" s="3"/>
      <c r="G72" s="3"/>
      <c r="H72" s="3"/>
      <c r="I72" s="3"/>
      <c r="J72" s="3"/>
      <c r="K72" s="3"/>
      <c r="L72" s="3"/>
      <c r="M72" s="3"/>
      <c r="N72" s="1"/>
    </row>
    <row r="73" spans="1:16" s="17" customFormat="1" x14ac:dyDescent="0.25">
      <c r="A73" s="4"/>
      <c r="B73" s="20" t="str">
        <f t="shared" ref="B73:B82" si="5">B42</f>
        <v>Telecommunications systems - WAN / 'Backhaul'</v>
      </c>
      <c r="C73" s="20"/>
      <c r="D73" s="3">
        <f>'[9]Data 2006-08'!D105</f>
        <v>0</v>
      </c>
      <c r="E73" s="3">
        <f>'[9]Data 2006-08'!E105</f>
        <v>0</v>
      </c>
      <c r="F73" s="3">
        <f>'[9]Data 2006-08'!F105</f>
        <v>0</v>
      </c>
      <c r="G73" s="3"/>
      <c r="H73" s="3"/>
      <c r="I73" s="3"/>
      <c r="J73" s="3"/>
      <c r="K73" s="3"/>
      <c r="L73" s="3"/>
      <c r="M73" s="3"/>
      <c r="N73" s="1"/>
    </row>
    <row r="74" spans="1:16" s="17" customFormat="1" x14ac:dyDescent="0.25">
      <c r="A74" s="4"/>
      <c r="B74" s="20" t="str">
        <f t="shared" si="5"/>
        <v>IT systems</v>
      </c>
      <c r="C74" s="20"/>
      <c r="D74" s="3">
        <f>'[9]Data 2006-08'!D106</f>
        <v>0</v>
      </c>
      <c r="E74" s="3">
        <f>'[9]Data 2006-08'!E106</f>
        <v>443789.3052</v>
      </c>
      <c r="F74" s="3">
        <f>'[9]Data 2006-08'!F106</f>
        <v>825053.65500000003</v>
      </c>
      <c r="G74" s="3"/>
      <c r="H74" s="3"/>
      <c r="I74" s="3"/>
      <c r="J74" s="3"/>
      <c r="K74" s="3"/>
      <c r="L74" s="3"/>
      <c r="M74" s="3"/>
      <c r="N74" s="1"/>
    </row>
    <row r="75" spans="1:16" s="17" customFormat="1" x14ac:dyDescent="0.25">
      <c r="A75" s="4"/>
      <c r="B75" s="20" t="str">
        <f t="shared" si="5"/>
        <v>Technology trials</v>
      </c>
      <c r="C75" s="20"/>
      <c r="D75" s="3">
        <f>'[9]Data 2006-08'!D107</f>
        <v>60206</v>
      </c>
      <c r="E75" s="3">
        <f>'[9]Data 2006-08'!E107</f>
        <v>741015.39533061057</v>
      </c>
      <c r="F75" s="3">
        <f>'[9]Data 2006-08'!F107</f>
        <v>1099.684699999998</v>
      </c>
      <c r="G75" s="3"/>
      <c r="H75" s="3"/>
      <c r="I75" s="3"/>
      <c r="J75" s="3"/>
      <c r="K75" s="3"/>
      <c r="L75" s="3"/>
      <c r="M75" s="3"/>
      <c r="N75" s="1"/>
    </row>
    <row r="76" spans="1:16" s="17" customFormat="1" x14ac:dyDescent="0.25">
      <c r="A76" s="4"/>
      <c r="B76" s="20" t="str">
        <f t="shared" si="5"/>
        <v>Customer response trials</v>
      </c>
      <c r="C76" s="20"/>
      <c r="D76" s="3">
        <f>'[9]Data 2006-08'!D108</f>
        <v>0</v>
      </c>
      <c r="E76" s="3">
        <f>'[9]Data 2006-08'!E108</f>
        <v>0</v>
      </c>
      <c r="F76" s="3">
        <f>'[9]Data 2006-08'!F108</f>
        <v>0</v>
      </c>
      <c r="G76" s="3"/>
      <c r="H76" s="3"/>
      <c r="I76" s="3"/>
      <c r="J76" s="3"/>
      <c r="K76" s="3"/>
      <c r="L76" s="3"/>
      <c r="M76" s="3"/>
      <c r="N76" s="1"/>
    </row>
    <row r="77" spans="1:16" s="17" customFormat="1" x14ac:dyDescent="0.25">
      <c r="A77" s="4"/>
      <c r="B77" s="20" t="str">
        <f t="shared" si="5"/>
        <v>Project management including training and project office</v>
      </c>
      <c r="C77" s="20"/>
      <c r="D77" s="3">
        <f>'[9]Data 2006-08'!D109</f>
        <v>410000</v>
      </c>
      <c r="E77" s="3">
        <f>'[9]Data 2006-08'!E109</f>
        <v>2080992.9337937138</v>
      </c>
      <c r="F77" s="3">
        <f>'[9]Data 2006-08'!F109</f>
        <v>3391789.6411290001</v>
      </c>
      <c r="G77" s="3"/>
      <c r="H77" s="3"/>
      <c r="I77" s="3"/>
      <c r="J77" s="3"/>
      <c r="K77" s="3"/>
      <c r="L77" s="3"/>
      <c r="M77" s="3"/>
      <c r="N77" s="1"/>
    </row>
    <row r="78" spans="1:16" s="17" customFormat="1" x14ac:dyDescent="0.25">
      <c r="A78" s="4"/>
      <c r="B78" s="20" t="str">
        <f t="shared" si="5"/>
        <v>Customer service costs</v>
      </c>
      <c r="C78" s="20"/>
      <c r="D78" s="3">
        <f>'[9]Data 2006-08'!D110</f>
        <v>0</v>
      </c>
      <c r="E78" s="3">
        <f>'[9]Data 2006-08'!E110</f>
        <v>0</v>
      </c>
      <c r="F78" s="3">
        <f>'[9]Data 2006-08'!F110</f>
        <v>0</v>
      </c>
      <c r="G78" s="3"/>
      <c r="H78" s="3"/>
      <c r="I78" s="3"/>
      <c r="J78" s="3"/>
      <c r="K78" s="3"/>
      <c r="L78" s="3"/>
      <c r="M78" s="3"/>
      <c r="N78" s="1"/>
    </row>
    <row r="79" spans="1:16" s="17" customFormat="1" x14ac:dyDescent="0.25">
      <c r="A79" s="4"/>
      <c r="B79" s="20" t="str">
        <f t="shared" si="5"/>
        <v>Other costs of provision of reg. services</v>
      </c>
      <c r="C79" s="20"/>
      <c r="D79" s="3">
        <f>'[9]Data 2006-08'!D111</f>
        <v>19948.303477362031</v>
      </c>
      <c r="E79" s="3">
        <f>'[9]Data 2006-08'!E111</f>
        <v>109701.09574678047</v>
      </c>
      <c r="F79" s="3">
        <f>'[9]Data 2006-08'!F111</f>
        <v>211709.50599313466</v>
      </c>
      <c r="G79" s="3"/>
      <c r="H79" s="3"/>
      <c r="I79" s="3"/>
      <c r="J79" s="3"/>
      <c r="K79" s="3"/>
      <c r="L79" s="3"/>
      <c r="M79" s="3"/>
      <c r="N79" s="1"/>
      <c r="O79" s="34"/>
      <c r="P79" s="36"/>
    </row>
    <row r="80" spans="1:16" s="17" customFormat="1" x14ac:dyDescent="0.25">
      <c r="A80" s="4"/>
      <c r="B80" s="20" t="str">
        <f t="shared" si="5"/>
        <v>Indirect costs</v>
      </c>
      <c r="D80" s="3">
        <f>'[9]Data 2006-08'!D112</f>
        <v>0</v>
      </c>
      <c r="E80" s="3">
        <f>'[9]Data 2006-08'!E112</f>
        <v>0</v>
      </c>
      <c r="F80" s="3">
        <f>'[9]Data 2006-08'!F112</f>
        <v>0</v>
      </c>
      <c r="G80" s="39"/>
      <c r="H80" s="39"/>
      <c r="I80" s="39"/>
      <c r="J80" s="39"/>
      <c r="K80" s="39"/>
      <c r="L80" s="39"/>
      <c r="M80" s="39"/>
      <c r="N80" s="1"/>
      <c r="P80" s="2"/>
    </row>
    <row r="81" spans="1:16" s="17" customFormat="1" x14ac:dyDescent="0.25">
      <c r="A81" s="4"/>
      <c r="B81" s="20" t="str">
        <f t="shared" si="5"/>
        <v>Funding:  - Equity raising</v>
      </c>
      <c r="C81" s="19"/>
      <c r="D81" s="3">
        <f>'[9]Data 2006-08'!D113</f>
        <v>0</v>
      </c>
      <c r="E81" s="3">
        <f>'[9]Data 2006-08'!E113</f>
        <v>0</v>
      </c>
      <c r="F81" s="3">
        <f>'[9]Data 2006-08'!F113</f>
        <v>0</v>
      </c>
      <c r="G81" s="3"/>
      <c r="H81" s="3"/>
      <c r="I81" s="3"/>
      <c r="J81" s="3"/>
      <c r="K81" s="3"/>
      <c r="L81" s="3"/>
      <c r="M81" s="3"/>
      <c r="N81" s="1"/>
      <c r="O81" s="34"/>
      <c r="P81" s="36"/>
    </row>
    <row r="82" spans="1:16" s="17" customFormat="1" x14ac:dyDescent="0.25">
      <c r="A82" s="4"/>
      <c r="B82" s="20" t="str">
        <f t="shared" si="5"/>
        <v xml:space="preserve">                 - Interest and exchange rate hedging costs</v>
      </c>
      <c r="C82" s="19"/>
      <c r="D82" s="3">
        <f>'[9]Data 2006-08'!D114</f>
        <v>0</v>
      </c>
      <c r="E82" s="3">
        <f>'[9]Data 2006-08'!E114</f>
        <v>0</v>
      </c>
      <c r="F82" s="3">
        <f>'[9]Data 2006-08'!F114</f>
        <v>0</v>
      </c>
      <c r="G82" s="3"/>
      <c r="H82" s="3"/>
      <c r="I82" s="3"/>
      <c r="J82" s="3"/>
      <c r="K82" s="3"/>
      <c r="L82" s="3"/>
      <c r="M82" s="3"/>
      <c r="N82" s="3"/>
    </row>
    <row r="83" spans="1:16" s="17" customFormat="1" x14ac:dyDescent="0.25">
      <c r="A83" s="4"/>
      <c r="B83" s="20"/>
      <c r="C83" s="19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6" s="17" customFormat="1" x14ac:dyDescent="0.25">
      <c r="A84" s="4"/>
      <c r="B84" s="89" t="str">
        <f>B53</f>
        <v>Total Pre State Date O&amp;M</v>
      </c>
      <c r="C84" s="1"/>
      <c r="D84" s="105">
        <f>SUM(D73:D82)</f>
        <v>490154.30347736203</v>
      </c>
      <c r="E84" s="105">
        <f t="shared" ref="E84:F84" si="6">SUM(E73:E82)</f>
        <v>3375498.7300711046</v>
      </c>
      <c r="F84" s="105">
        <f t="shared" si="6"/>
        <v>4429652.4868221348</v>
      </c>
      <c r="G84" s="3"/>
      <c r="H84" s="3"/>
      <c r="I84" s="3"/>
      <c r="J84" s="3"/>
      <c r="K84" s="3"/>
      <c r="L84" s="3"/>
      <c r="M84" s="3"/>
      <c r="N84" s="3"/>
    </row>
    <row r="85" spans="1:16" s="17" customFormat="1" x14ac:dyDescent="0.25">
      <c r="A85" s="4"/>
      <c r="B85" s="89">
        <f t="shared" ref="B85:B99" si="7">B54</f>
        <v>0</v>
      </c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6" s="17" customFormat="1" x14ac:dyDescent="0.25">
      <c r="A86" s="4"/>
      <c r="B86" s="89" t="str">
        <f t="shared" si="7"/>
        <v>O &amp; M EXPENDITURE</v>
      </c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6" s="17" customFormat="1" x14ac:dyDescent="0.25">
      <c r="A87" s="4"/>
      <c r="B87" s="89">
        <f t="shared" si="7"/>
        <v>0</v>
      </c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6" s="17" customFormat="1" x14ac:dyDescent="0.25">
      <c r="A88" s="4"/>
      <c r="B88" s="89" t="str">
        <f t="shared" si="7"/>
        <v>Maintenance costs</v>
      </c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6" s="17" customFormat="1" x14ac:dyDescent="0.25">
      <c r="A89" s="4"/>
      <c r="B89" s="22" t="str">
        <f t="shared" si="7"/>
        <v>Standard metering (accumulation meters and interval meters)</v>
      </c>
      <c r="C89" s="1"/>
      <c r="D89" s="3">
        <f>'[9]Data 2006-08'!D40</f>
        <v>411755.94</v>
      </c>
      <c r="E89" s="3">
        <f>'[9]Data 2006-08'!E40</f>
        <v>315784.24231606495</v>
      </c>
      <c r="F89" s="3">
        <f>'[9]Data 2006-08'!F40</f>
        <v>571552.17879175732</v>
      </c>
      <c r="G89" s="3"/>
      <c r="H89" s="3"/>
      <c r="I89" s="3"/>
      <c r="J89" s="3"/>
      <c r="K89" s="3"/>
      <c r="L89" s="3"/>
      <c r="M89" s="3"/>
      <c r="N89" s="3"/>
    </row>
    <row r="90" spans="1:16" s="17" customFormat="1" x14ac:dyDescent="0.25">
      <c r="A90" s="4"/>
      <c r="B90" s="22" t="str">
        <f t="shared" si="7"/>
        <v>Metering data services (IT related)</v>
      </c>
      <c r="C90" s="1"/>
      <c r="D90" s="3">
        <f>'[9]Data 2006-08'!D41</f>
        <v>1208340.4683129673</v>
      </c>
      <c r="E90" s="3">
        <f>'[9]Data 2006-08'!E41</f>
        <v>1109023.7347808881</v>
      </c>
      <c r="F90" s="3">
        <f>'[9]Data 2006-08'!F41</f>
        <v>792821.38780093018</v>
      </c>
      <c r="G90" s="3"/>
      <c r="H90" s="3"/>
      <c r="I90" s="3"/>
      <c r="J90" s="3"/>
      <c r="K90" s="3"/>
      <c r="L90" s="3"/>
      <c r="M90" s="3"/>
      <c r="N90" s="3"/>
    </row>
    <row r="91" spans="1:16" s="17" customFormat="1" x14ac:dyDescent="0.25">
      <c r="A91" s="4"/>
      <c r="B91" s="22" t="str">
        <f t="shared" si="7"/>
        <v>Total</v>
      </c>
      <c r="C91" s="1"/>
      <c r="D91" s="3">
        <f>'[9]Data 2006-08'!D42</f>
        <v>1620096.4083129673</v>
      </c>
      <c r="E91" s="3">
        <f>'[9]Data 2006-08'!E42</f>
        <v>1424807.977096953</v>
      </c>
      <c r="F91" s="3">
        <f>'[9]Data 2006-08'!F42</f>
        <v>1364373.5665926875</v>
      </c>
      <c r="G91" s="3"/>
      <c r="H91" s="3"/>
      <c r="I91" s="3"/>
      <c r="J91" s="3"/>
      <c r="K91" s="3"/>
      <c r="L91" s="3"/>
      <c r="M91" s="3"/>
      <c r="N91" s="3"/>
    </row>
    <row r="92" spans="1:16" s="17" customFormat="1" x14ac:dyDescent="0.25">
      <c r="A92" s="4"/>
      <c r="B92" s="89">
        <f t="shared" si="7"/>
        <v>0</v>
      </c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6" s="17" customFormat="1" x14ac:dyDescent="0.25">
      <c r="A93" s="4"/>
      <c r="B93" s="89" t="str">
        <f t="shared" si="7"/>
        <v>Operating costs</v>
      </c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6" s="17" customFormat="1" x14ac:dyDescent="0.25">
      <c r="A94" s="4"/>
      <c r="B94" s="22" t="str">
        <f t="shared" si="7"/>
        <v>Metering data services</v>
      </c>
      <c r="C94" s="1"/>
      <c r="D94" s="3">
        <f>'[9]Data 2006-08'!D45</f>
        <v>2624270.9656425477</v>
      </c>
      <c r="E94" s="3">
        <f>'[9]Data 2006-08'!E45</f>
        <v>1817982.1720956855</v>
      </c>
      <c r="F94" s="3">
        <f>'[9]Data 2006-08'!F45</f>
        <v>1883108.564998222</v>
      </c>
      <c r="G94" s="3"/>
      <c r="H94" s="3"/>
      <c r="I94" s="3"/>
      <c r="J94" s="3"/>
      <c r="K94" s="3"/>
      <c r="L94" s="3"/>
      <c r="M94" s="3"/>
      <c r="N94" s="3"/>
    </row>
    <row r="95" spans="1:16" s="17" customFormat="1" x14ac:dyDescent="0.25">
      <c r="A95" s="4"/>
      <c r="B95" s="22" t="str">
        <f t="shared" si="7"/>
        <v>Customer services (meter replacements)</v>
      </c>
      <c r="C95" s="1"/>
      <c r="D95" s="3">
        <f>'[9]Data 2006-08'!D46</f>
        <v>138089.61476245304</v>
      </c>
      <c r="E95" s="3">
        <f>'[9]Data 2006-08'!E46</f>
        <v>112945.3109408047</v>
      </c>
      <c r="F95" s="3">
        <f>'[9]Data 2006-08'!F46</f>
        <v>140797.07530660642</v>
      </c>
      <c r="G95" s="3"/>
      <c r="H95" s="3"/>
      <c r="I95" s="3"/>
      <c r="J95" s="3"/>
      <c r="K95" s="3"/>
      <c r="L95" s="3"/>
      <c r="M95" s="3"/>
      <c r="N95" s="3"/>
    </row>
    <row r="96" spans="1:16" s="17" customFormat="1" x14ac:dyDescent="0.25">
      <c r="A96" s="4"/>
      <c r="B96" s="22" t="str">
        <f>B65</f>
        <v>Indirect Overheads</v>
      </c>
      <c r="C96" s="1"/>
      <c r="D96" s="3">
        <f>'[9]Data 2006-08'!D47</f>
        <v>56659.89</v>
      </c>
      <c r="E96" s="3">
        <f>'[9]Data 2006-08'!E47</f>
        <v>51308.301870091993</v>
      </c>
      <c r="F96" s="3">
        <f>'[9]Data 2006-08'!F47</f>
        <v>39861.573089689482</v>
      </c>
      <c r="G96" s="3"/>
      <c r="H96" s="3"/>
      <c r="I96" s="3"/>
      <c r="J96" s="3"/>
      <c r="K96" s="3"/>
      <c r="L96" s="3"/>
      <c r="M96" s="3"/>
      <c r="N96" s="3"/>
    </row>
    <row r="97" spans="1:16" s="17" customFormat="1" x14ac:dyDescent="0.25">
      <c r="A97" s="4"/>
      <c r="B97" s="22" t="str">
        <f t="shared" si="7"/>
        <v>Total</v>
      </c>
      <c r="C97" s="1"/>
      <c r="D97" s="3">
        <f>'[9]Data 2006-08'!D48</f>
        <v>2819020.4704050007</v>
      </c>
      <c r="E97" s="3">
        <f>'[9]Data 2006-08'!E48</f>
        <v>1982235.7849065822</v>
      </c>
      <c r="F97" s="3">
        <f>'[9]Data 2006-08'!F48</f>
        <v>2063767.213394518</v>
      </c>
      <c r="G97" s="3"/>
      <c r="H97" s="3"/>
      <c r="I97" s="3"/>
      <c r="J97" s="3"/>
      <c r="K97" s="3"/>
      <c r="L97" s="3"/>
      <c r="M97" s="3"/>
      <c r="N97" s="3"/>
    </row>
    <row r="98" spans="1:16" s="17" customFormat="1" x14ac:dyDescent="0.25">
      <c r="A98" s="4"/>
      <c r="B98" s="89">
        <f t="shared" si="7"/>
        <v>0</v>
      </c>
      <c r="C98" s="1"/>
      <c r="D98" s="3">
        <f>'[9]Data 2006-08'!D49</f>
        <v>0</v>
      </c>
      <c r="E98" s="3">
        <f>'[9]Data 2006-08'!E49</f>
        <v>0</v>
      </c>
      <c r="F98" s="3">
        <f>'[9]Data 2006-08'!F49</f>
        <v>0</v>
      </c>
      <c r="G98" s="3"/>
      <c r="H98" s="3"/>
      <c r="I98" s="3"/>
      <c r="J98" s="3"/>
      <c r="K98" s="3"/>
      <c r="L98" s="3"/>
      <c r="M98" s="3"/>
      <c r="N98" s="3"/>
    </row>
    <row r="99" spans="1:16" s="17" customFormat="1" x14ac:dyDescent="0.25">
      <c r="A99" s="4"/>
      <c r="B99" s="89" t="str">
        <f t="shared" si="7"/>
        <v>TOTAL O&amp;M Expenditure</v>
      </c>
      <c r="C99" s="1"/>
      <c r="D99" s="18">
        <f>'[9]Data 2006-08'!D50</f>
        <v>4439116.8787179682</v>
      </c>
      <c r="E99" s="18">
        <f>'[9]Data 2006-08'!E50</f>
        <v>3407043.7620035354</v>
      </c>
      <c r="F99" s="18">
        <f>'[9]Data 2006-08'!F50</f>
        <v>3428140.7799872058</v>
      </c>
      <c r="G99" s="105">
        <f>'[9]Data 2009-11'!D$55</f>
        <v>12186311.267134894</v>
      </c>
      <c r="H99" s="105">
        <f>'[9]Data 2009-11'!E$55</f>
        <v>10053825.672141695</v>
      </c>
      <c r="I99" s="105">
        <f>'[9]Data 2009-11'!F$55</f>
        <v>13888721.791800356</v>
      </c>
      <c r="J99" s="105">
        <f>'[9]DNSP Data Inputs 2012-15'!G$55</f>
        <v>11690996.374198474</v>
      </c>
      <c r="K99" s="105">
        <f>'[9]DNSP Data Inputs 2012-15'!H$55</f>
        <v>9882575.3873525523</v>
      </c>
      <c r="L99" s="105">
        <f>'[9]DNSP Data Inputs 2012-15'!I$55</f>
        <v>9363427.1185940169</v>
      </c>
      <c r="M99" s="105">
        <f>'[9]DNSP Data Inputs 2012-15'!J$55</f>
        <v>9086014.6289051939</v>
      </c>
      <c r="N99" s="3"/>
    </row>
    <row r="100" spans="1:16" s="15" customFormat="1" x14ac:dyDescent="0.25">
      <c r="A100" s="7"/>
      <c r="B100" s="21"/>
      <c r="C100" s="21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</row>
    <row r="101" spans="1:16" s="17" customFormat="1" x14ac:dyDescent="0.25">
      <c r="A101" s="4"/>
      <c r="B101" s="19"/>
      <c r="C101" s="19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6" s="17" customFormat="1" x14ac:dyDescent="0.25">
      <c r="A102" s="18" t="s">
        <v>10</v>
      </c>
      <c r="B102" s="19" t="str">
        <f>B71</f>
        <v>OPERATING &amp; MAINTENANCE EXPENDITURE (Pre Start Date)</v>
      </c>
      <c r="C102" s="19"/>
      <c r="D102" s="18"/>
      <c r="E102" s="18"/>
      <c r="F102" s="18"/>
      <c r="G102" s="18"/>
      <c r="H102" s="18"/>
      <c r="I102" s="18"/>
      <c r="J102" s="27"/>
      <c r="K102" s="27"/>
      <c r="L102" s="27"/>
      <c r="M102" s="27"/>
      <c r="N102" s="18"/>
    </row>
    <row r="103" spans="1:16" s="17" customFormat="1" x14ac:dyDescent="0.25">
      <c r="A103" s="4"/>
      <c r="B103" s="22"/>
      <c r="C103" s="22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1"/>
    </row>
    <row r="104" spans="1:16" s="17" customFormat="1" x14ac:dyDescent="0.25">
      <c r="A104" s="4"/>
      <c r="B104" s="22" t="str">
        <f t="shared" ref="B104:B113" si="8">B73</f>
        <v>Telecommunications systems - WAN / 'Backhaul'</v>
      </c>
      <c r="C104" s="22"/>
      <c r="D104" s="27">
        <f>'[11]Data 2006-08'!D105</f>
        <v>0</v>
      </c>
      <c r="E104" s="27">
        <f>'[11]Data 2006-08'!E105</f>
        <v>0</v>
      </c>
      <c r="F104" s="27">
        <f>'[11]Data 2006-08'!F105</f>
        <v>0</v>
      </c>
      <c r="G104" s="27"/>
      <c r="H104" s="27"/>
      <c r="I104" s="27"/>
      <c r="J104" s="27"/>
      <c r="K104" s="27"/>
      <c r="L104" s="27"/>
      <c r="M104" s="27"/>
      <c r="N104" s="1"/>
    </row>
    <row r="105" spans="1:16" s="17" customFormat="1" x14ac:dyDescent="0.25">
      <c r="A105" s="4"/>
      <c r="B105" s="22" t="str">
        <f t="shared" si="8"/>
        <v>IT systems</v>
      </c>
      <c r="C105" s="22"/>
      <c r="D105" s="27">
        <f>'[11]Data 2006-08'!D106</f>
        <v>0</v>
      </c>
      <c r="E105" s="27">
        <f>'[11]Data 2006-08'!E106</f>
        <v>1559372</v>
      </c>
      <c r="F105" s="27">
        <f>'[11]Data 2006-08'!F106</f>
        <v>77435.960000000006</v>
      </c>
      <c r="G105" s="27"/>
      <c r="H105" s="27"/>
      <c r="I105" s="27"/>
      <c r="J105" s="27"/>
      <c r="K105" s="27"/>
      <c r="L105" s="27"/>
      <c r="M105" s="27"/>
      <c r="N105" s="1"/>
    </row>
    <row r="106" spans="1:16" s="17" customFormat="1" x14ac:dyDescent="0.25">
      <c r="A106" s="4"/>
      <c r="B106" s="22" t="str">
        <f t="shared" si="8"/>
        <v>Technology trials</v>
      </c>
      <c r="C106" s="22"/>
      <c r="D106" s="27">
        <f>'[11]Data 2006-08'!D107</f>
        <v>329755.78999999998</v>
      </c>
      <c r="E106" s="27">
        <f>'[11]Data 2006-08'!E107</f>
        <v>468319.97</v>
      </c>
      <c r="F106" s="27">
        <f>'[11]Data 2006-08'!F107</f>
        <v>1418069.36</v>
      </c>
      <c r="G106" s="27"/>
      <c r="H106" s="27"/>
      <c r="I106" s="27"/>
      <c r="J106" s="27"/>
      <c r="K106" s="27"/>
      <c r="L106" s="27"/>
      <c r="M106" s="27"/>
      <c r="N106" s="1"/>
    </row>
    <row r="107" spans="1:16" s="17" customFormat="1" x14ac:dyDescent="0.25">
      <c r="A107" s="4"/>
      <c r="B107" s="22" t="str">
        <f t="shared" si="8"/>
        <v>Customer response trials</v>
      </c>
      <c r="C107" s="22"/>
      <c r="D107" s="27">
        <f>'[11]Data 2006-08'!D108</f>
        <v>0</v>
      </c>
      <c r="E107" s="27">
        <f>'[11]Data 2006-08'!E108</f>
        <v>0</v>
      </c>
      <c r="F107" s="27">
        <f>'[11]Data 2006-08'!F108</f>
        <v>0</v>
      </c>
      <c r="G107" s="27"/>
      <c r="H107" s="27"/>
      <c r="I107" s="27"/>
      <c r="J107" s="27"/>
      <c r="K107" s="27"/>
      <c r="L107" s="27"/>
      <c r="M107" s="27"/>
      <c r="N107" s="1"/>
    </row>
    <row r="108" spans="1:16" s="17" customFormat="1" x14ac:dyDescent="0.25">
      <c r="A108" s="4"/>
      <c r="B108" s="22" t="str">
        <f t="shared" si="8"/>
        <v>Project management including training and project office</v>
      </c>
      <c r="C108" s="22"/>
      <c r="D108" s="27">
        <f>'[11]Data 2006-08'!D109</f>
        <v>697942.26</v>
      </c>
      <c r="E108" s="27">
        <f>'[11]Data 2006-08'!E109</f>
        <v>775965.75</v>
      </c>
      <c r="F108" s="27">
        <f>'[11]Data 2006-08'!F109</f>
        <v>4021295.64</v>
      </c>
      <c r="G108" s="27"/>
      <c r="H108" s="27"/>
      <c r="I108" s="27"/>
      <c r="J108" s="27"/>
      <c r="K108" s="27"/>
      <c r="L108" s="27"/>
      <c r="M108" s="27"/>
      <c r="N108" s="1"/>
    </row>
    <row r="109" spans="1:16" s="17" customFormat="1" x14ac:dyDescent="0.25">
      <c r="A109" s="4"/>
      <c r="B109" s="22" t="str">
        <f t="shared" si="8"/>
        <v>Customer service costs</v>
      </c>
      <c r="C109" s="22"/>
      <c r="D109" s="27">
        <f>'[11]Data 2006-08'!D110</f>
        <v>0</v>
      </c>
      <c r="E109" s="27">
        <f>'[11]Data 2006-08'!E110</f>
        <v>0</v>
      </c>
      <c r="F109" s="27">
        <f>'[11]Data 2006-08'!F110</f>
        <v>0</v>
      </c>
      <c r="G109" s="27"/>
      <c r="H109" s="27"/>
      <c r="I109" s="27"/>
      <c r="J109" s="27"/>
      <c r="K109" s="27"/>
      <c r="L109" s="27"/>
      <c r="M109" s="27"/>
      <c r="N109" s="1"/>
    </row>
    <row r="110" spans="1:16" s="17" customFormat="1" x14ac:dyDescent="0.25">
      <c r="A110" s="4"/>
      <c r="B110" s="22" t="str">
        <f t="shared" si="8"/>
        <v>Other costs of provision of reg. services</v>
      </c>
      <c r="C110" s="22"/>
      <c r="D110" s="27">
        <f>'[11]Data 2006-08'!D111</f>
        <v>0</v>
      </c>
      <c r="E110" s="27">
        <f>'[11]Data 2006-08'!E111</f>
        <v>556621</v>
      </c>
      <c r="F110" s="27">
        <f>'[11]Data 2006-08'!F111</f>
        <v>654359.875</v>
      </c>
      <c r="G110" s="27"/>
      <c r="H110" s="27"/>
      <c r="I110" s="27"/>
      <c r="J110" s="27"/>
      <c r="K110" s="27"/>
      <c r="L110" s="27"/>
      <c r="M110" s="27"/>
      <c r="N110" s="1"/>
      <c r="O110" s="34"/>
      <c r="P110" s="36"/>
    </row>
    <row r="111" spans="1:16" s="17" customFormat="1" x14ac:dyDescent="0.25">
      <c r="B111" s="22" t="str">
        <f t="shared" si="8"/>
        <v>Indirect costs</v>
      </c>
      <c r="D111" s="27">
        <f>'[11]Data 2006-08'!D112</f>
        <v>0</v>
      </c>
      <c r="E111" s="27">
        <f>'[11]Data 2006-08'!E112</f>
        <v>0</v>
      </c>
      <c r="F111" s="27">
        <f>'[11]Data 2006-08'!F112</f>
        <v>1837075.9995795637</v>
      </c>
      <c r="G111" s="40"/>
      <c r="H111" s="40"/>
      <c r="I111" s="40"/>
      <c r="J111" s="40"/>
      <c r="K111" s="40"/>
      <c r="L111" s="40"/>
      <c r="M111" s="40"/>
      <c r="N111" s="1"/>
      <c r="P111" s="2"/>
    </row>
    <row r="112" spans="1:16" s="17" customFormat="1" x14ac:dyDescent="0.25">
      <c r="A112" s="4"/>
      <c r="B112" s="22" t="str">
        <f t="shared" si="8"/>
        <v>Funding:  - Equity raising</v>
      </c>
      <c r="C112" s="19"/>
      <c r="D112" s="27">
        <f>'[11]Data 2006-08'!D113</f>
        <v>0</v>
      </c>
      <c r="E112" s="27">
        <f>'[11]Data 2006-08'!E113</f>
        <v>0</v>
      </c>
      <c r="F112" s="27">
        <f>'[11]Data 2006-08'!F113</f>
        <v>0</v>
      </c>
      <c r="G112" s="27"/>
      <c r="H112" s="27"/>
      <c r="I112" s="27"/>
      <c r="J112" s="27"/>
      <c r="K112" s="27"/>
      <c r="L112" s="27"/>
      <c r="M112" s="27"/>
      <c r="N112" s="1"/>
      <c r="O112" s="34"/>
      <c r="P112" s="36"/>
    </row>
    <row r="113" spans="1:16" s="17" customFormat="1" x14ac:dyDescent="0.25">
      <c r="A113" s="4"/>
      <c r="B113" s="22" t="str">
        <f t="shared" si="8"/>
        <v xml:space="preserve">                 - Interest and exchange rate hedging costs</v>
      </c>
      <c r="C113" s="19"/>
      <c r="D113" s="27">
        <f>'[11]Data 2006-08'!D114</f>
        <v>0</v>
      </c>
      <c r="E113" s="27">
        <f>'[11]Data 2006-08'!E114</f>
        <v>0</v>
      </c>
      <c r="F113" s="27">
        <f>'[11]Data 2006-08'!F114</f>
        <v>0</v>
      </c>
      <c r="G113" s="27"/>
      <c r="H113" s="27"/>
      <c r="I113" s="27"/>
      <c r="J113" s="27"/>
      <c r="K113" s="27"/>
      <c r="L113" s="27"/>
      <c r="M113" s="27"/>
      <c r="N113" s="1"/>
      <c r="O113" s="34"/>
      <c r="P113" s="36"/>
    </row>
    <row r="114" spans="1:16" s="17" customFormat="1" x14ac:dyDescent="0.25">
      <c r="A114" s="4"/>
      <c r="B114" s="22"/>
      <c r="C114" s="19"/>
      <c r="D114" s="27"/>
      <c r="E114" s="27"/>
      <c r="F114" s="27"/>
      <c r="G114" s="41"/>
      <c r="H114" s="41"/>
      <c r="I114" s="41"/>
      <c r="J114" s="41"/>
      <c r="K114" s="41"/>
      <c r="L114" s="41"/>
      <c r="M114" s="41"/>
      <c r="N114" s="10"/>
    </row>
    <row r="115" spans="1:16" s="17" customFormat="1" x14ac:dyDescent="0.25">
      <c r="A115" s="4"/>
      <c r="B115" s="89" t="str">
        <f>B84</f>
        <v>Total Pre State Date O&amp;M</v>
      </c>
      <c r="C115" s="1"/>
      <c r="D115" s="105">
        <f>SUM(D104:D113)</f>
        <v>1027698.05</v>
      </c>
      <c r="E115" s="105">
        <f t="shared" ref="E115:F115" si="9">SUM(E104:E113)</f>
        <v>3360278.7199999997</v>
      </c>
      <c r="F115" s="105">
        <f t="shared" si="9"/>
        <v>8008236.8345795637</v>
      </c>
      <c r="G115" s="5"/>
      <c r="H115" s="5"/>
      <c r="I115" s="5"/>
      <c r="J115" s="5"/>
      <c r="K115" s="5"/>
      <c r="L115" s="5"/>
      <c r="M115" s="5"/>
      <c r="N115" s="10"/>
    </row>
    <row r="116" spans="1:16" s="17" customFormat="1" x14ac:dyDescent="0.25">
      <c r="A116" s="4"/>
      <c r="B116" s="22">
        <f t="shared" ref="B116:B130" si="10">B85</f>
        <v>0</v>
      </c>
      <c r="C116" s="1"/>
      <c r="D116" s="35"/>
      <c r="E116" s="5"/>
      <c r="F116" s="5"/>
      <c r="G116" s="5"/>
      <c r="H116" s="5"/>
      <c r="I116" s="5"/>
      <c r="J116" s="5"/>
      <c r="K116" s="5"/>
      <c r="L116" s="5"/>
      <c r="M116" s="5"/>
      <c r="N116" s="10"/>
    </row>
    <row r="117" spans="1:16" s="17" customFormat="1" x14ac:dyDescent="0.25">
      <c r="A117" s="4"/>
      <c r="B117" s="89" t="str">
        <f t="shared" si="10"/>
        <v>O &amp; M EXPENDITURE</v>
      </c>
      <c r="C117" s="1"/>
      <c r="D117" s="35"/>
      <c r="E117" s="5"/>
      <c r="F117" s="5"/>
      <c r="G117" s="5"/>
      <c r="H117" s="5"/>
      <c r="I117" s="5"/>
      <c r="J117" s="5"/>
      <c r="K117" s="5"/>
      <c r="L117" s="5"/>
      <c r="M117" s="5"/>
      <c r="N117" s="10"/>
    </row>
    <row r="118" spans="1:16" s="17" customFormat="1" x14ac:dyDescent="0.25">
      <c r="A118" s="4"/>
      <c r="B118" s="22">
        <f t="shared" si="10"/>
        <v>0</v>
      </c>
      <c r="C118" s="1"/>
      <c r="D118" s="35"/>
      <c r="E118" s="5"/>
      <c r="F118" s="5"/>
      <c r="G118" s="5"/>
      <c r="H118" s="5"/>
      <c r="I118" s="5"/>
      <c r="J118" s="5"/>
      <c r="K118" s="5"/>
      <c r="L118" s="5"/>
      <c r="M118" s="5"/>
      <c r="N118" s="10"/>
    </row>
    <row r="119" spans="1:16" s="17" customFormat="1" x14ac:dyDescent="0.25">
      <c r="A119" s="4"/>
      <c r="B119" s="89" t="str">
        <f t="shared" si="10"/>
        <v>Maintenance costs</v>
      </c>
      <c r="C119" s="1"/>
      <c r="D119" s="35"/>
      <c r="E119" s="5"/>
      <c r="F119" s="5"/>
      <c r="G119" s="5"/>
      <c r="H119" s="5"/>
      <c r="I119" s="5"/>
      <c r="J119" s="5"/>
      <c r="K119" s="5"/>
      <c r="L119" s="5"/>
      <c r="M119" s="5"/>
      <c r="N119" s="10"/>
    </row>
    <row r="120" spans="1:16" s="17" customFormat="1" x14ac:dyDescent="0.25">
      <c r="A120" s="4"/>
      <c r="B120" s="22" t="str">
        <f t="shared" si="10"/>
        <v>Standard metering (accumulation meters and interval meters)</v>
      </c>
      <c r="C120" s="1"/>
      <c r="D120" s="96">
        <f>'[11]Data 2006-08'!D40</f>
        <v>196765.7254</v>
      </c>
      <c r="E120" s="96">
        <f>'[11]Data 2006-08'!E40</f>
        <v>517644.13400000002</v>
      </c>
      <c r="F120" s="96">
        <f>'[11]Data 2006-08'!F40</f>
        <v>490545.0344</v>
      </c>
      <c r="G120" s="5"/>
      <c r="H120" s="5"/>
      <c r="I120" s="5"/>
      <c r="J120" s="5"/>
      <c r="K120" s="5"/>
      <c r="L120" s="5"/>
      <c r="M120" s="5"/>
      <c r="N120" s="10"/>
    </row>
    <row r="121" spans="1:16" s="17" customFormat="1" x14ac:dyDescent="0.25">
      <c r="A121" s="4"/>
      <c r="B121" s="22" t="str">
        <f t="shared" si="10"/>
        <v>Metering data services (IT related)</v>
      </c>
      <c r="C121" s="1"/>
      <c r="D121" s="96">
        <f>'[11]Data 2006-08'!D41</f>
        <v>0</v>
      </c>
      <c r="E121" s="96">
        <f>'[11]Data 2006-08'!E41</f>
        <v>0</v>
      </c>
      <c r="F121" s="96">
        <f>'[11]Data 2006-08'!F41</f>
        <v>0</v>
      </c>
      <c r="G121" s="5"/>
      <c r="H121" s="5"/>
      <c r="I121" s="5"/>
      <c r="J121" s="5"/>
      <c r="K121" s="5"/>
      <c r="L121" s="5"/>
      <c r="M121" s="5"/>
      <c r="N121" s="10"/>
    </row>
    <row r="122" spans="1:16" s="17" customFormat="1" x14ac:dyDescent="0.25">
      <c r="A122" s="4"/>
      <c r="B122" s="22" t="str">
        <f t="shared" si="10"/>
        <v>Total</v>
      </c>
      <c r="C122" s="1"/>
      <c r="D122" s="35">
        <f>'[11]Data 2006-08'!D42</f>
        <v>196765.7254</v>
      </c>
      <c r="E122" s="35">
        <f>'[11]Data 2006-08'!E42</f>
        <v>517644.13400000002</v>
      </c>
      <c r="F122" s="35">
        <f>'[11]Data 2006-08'!F42</f>
        <v>490545.0344</v>
      </c>
      <c r="G122" s="5"/>
      <c r="H122" s="5"/>
      <c r="I122" s="5"/>
      <c r="J122" s="5"/>
      <c r="K122" s="5"/>
      <c r="L122" s="5"/>
      <c r="M122" s="5"/>
      <c r="N122" s="10"/>
    </row>
    <row r="123" spans="1:16" s="17" customFormat="1" x14ac:dyDescent="0.25">
      <c r="A123" s="4"/>
      <c r="B123" s="22">
        <f t="shared" si="10"/>
        <v>0</v>
      </c>
      <c r="C123" s="1"/>
      <c r="D123" s="96"/>
      <c r="E123" s="96"/>
      <c r="F123" s="96"/>
      <c r="G123" s="5"/>
      <c r="H123" s="5"/>
      <c r="I123" s="5"/>
      <c r="J123" s="5"/>
      <c r="K123" s="5"/>
      <c r="L123" s="5"/>
      <c r="M123" s="5"/>
      <c r="N123" s="10"/>
    </row>
    <row r="124" spans="1:16" s="17" customFormat="1" x14ac:dyDescent="0.25">
      <c r="A124" s="4"/>
      <c r="B124" s="89" t="str">
        <f t="shared" si="10"/>
        <v>Operating costs</v>
      </c>
      <c r="C124" s="1"/>
      <c r="D124" s="96"/>
      <c r="E124" s="96"/>
      <c r="F124" s="96"/>
      <c r="G124" s="5"/>
      <c r="H124" s="5"/>
      <c r="I124" s="5"/>
      <c r="J124" s="5"/>
      <c r="K124" s="5"/>
      <c r="L124" s="5"/>
      <c r="M124" s="5"/>
      <c r="N124" s="10"/>
    </row>
    <row r="125" spans="1:16" s="17" customFormat="1" x14ac:dyDescent="0.25">
      <c r="A125" s="4"/>
      <c r="B125" s="22" t="str">
        <f t="shared" si="10"/>
        <v>Metering data services</v>
      </c>
      <c r="C125" s="1"/>
      <c r="D125" s="96">
        <f>'[11]Data 2006-08'!D45</f>
        <v>8374116.0488559995</v>
      </c>
      <c r="E125" s="96">
        <f>'[11]Data 2006-08'!E45</f>
        <v>7403752.3311585048</v>
      </c>
      <c r="F125" s="96">
        <f>'[11]Data 2006-08'!F45</f>
        <v>9000552.3345711287</v>
      </c>
      <c r="G125" s="5"/>
      <c r="H125" s="5"/>
      <c r="I125" s="5"/>
      <c r="J125" s="5"/>
      <c r="K125" s="5"/>
      <c r="L125" s="5"/>
      <c r="M125" s="5"/>
      <c r="N125" s="10"/>
    </row>
    <row r="126" spans="1:16" s="17" customFormat="1" x14ac:dyDescent="0.25">
      <c r="A126" s="4"/>
      <c r="B126" s="22" t="str">
        <f t="shared" si="10"/>
        <v>Customer services (meter replacements)</v>
      </c>
      <c r="C126" s="1"/>
      <c r="D126" s="96">
        <f>'[11]Data 2006-08'!D46</f>
        <v>180441.21576354679</v>
      </c>
      <c r="E126" s="96">
        <f>'[11]Data 2006-08'!E46</f>
        <v>143458.41723118219</v>
      </c>
      <c r="F126" s="96">
        <f>'[11]Data 2006-08'!F46</f>
        <v>205691.66480831188</v>
      </c>
      <c r="G126" s="5"/>
      <c r="H126" s="5"/>
      <c r="I126" s="5"/>
      <c r="J126" s="5"/>
      <c r="K126" s="5"/>
      <c r="L126" s="5"/>
      <c r="M126" s="5"/>
      <c r="N126" s="10"/>
    </row>
    <row r="127" spans="1:16" s="17" customFormat="1" x14ac:dyDescent="0.25">
      <c r="A127" s="4"/>
      <c r="B127" s="22" t="str">
        <f t="shared" si="10"/>
        <v>Indirect Overheads</v>
      </c>
      <c r="C127" s="1"/>
      <c r="D127" s="96">
        <f>'[11]Data 2006-08'!D47</f>
        <v>2049635.5721609329</v>
      </c>
      <c r="E127" s="96">
        <f>'[11]Data 2006-08'!E47</f>
        <v>2907290.7879588599</v>
      </c>
      <c r="F127" s="96">
        <f>'[11]Data 2006-08'!F47</f>
        <v>3094360.020275455</v>
      </c>
      <c r="G127" s="5"/>
      <c r="H127" s="5"/>
      <c r="I127" s="5"/>
      <c r="J127" s="5"/>
      <c r="K127" s="5"/>
      <c r="L127" s="5"/>
      <c r="M127" s="5"/>
      <c r="N127" s="10"/>
    </row>
    <row r="128" spans="1:16" s="17" customFormat="1" x14ac:dyDescent="0.25">
      <c r="A128" s="4"/>
      <c r="B128" s="22" t="str">
        <f t="shared" si="10"/>
        <v>Total</v>
      </c>
      <c r="C128" s="1"/>
      <c r="D128" s="35">
        <f>'[11]Data 2006-08'!D48</f>
        <v>10604192.836780479</v>
      </c>
      <c r="E128" s="35">
        <f>'[11]Data 2006-08'!E48</f>
        <v>10454501.536348548</v>
      </c>
      <c r="F128" s="35">
        <f>'[11]Data 2006-08'!F48</f>
        <v>12300604.019654896</v>
      </c>
      <c r="G128" s="5"/>
      <c r="H128" s="5"/>
      <c r="I128" s="5"/>
      <c r="J128" s="5"/>
      <c r="K128" s="5"/>
      <c r="L128" s="5"/>
      <c r="M128" s="5"/>
      <c r="N128" s="10"/>
    </row>
    <row r="129" spans="1:16" s="17" customFormat="1" x14ac:dyDescent="0.25">
      <c r="A129" s="4"/>
      <c r="B129" s="22">
        <f t="shared" si="10"/>
        <v>0</v>
      </c>
      <c r="C129" s="1"/>
      <c r="D129" s="96"/>
      <c r="E129" s="96"/>
      <c r="F129" s="96"/>
      <c r="G129" s="5"/>
      <c r="H129" s="5"/>
      <c r="I129" s="5"/>
      <c r="J129" s="5"/>
      <c r="K129" s="5"/>
      <c r="L129" s="5"/>
      <c r="M129" s="5"/>
      <c r="N129" s="10"/>
    </row>
    <row r="130" spans="1:16" s="17" customFormat="1" x14ac:dyDescent="0.25">
      <c r="A130" s="4"/>
      <c r="B130" s="89" t="str">
        <f t="shared" si="10"/>
        <v>TOTAL O&amp;M Expenditure</v>
      </c>
      <c r="C130" s="1"/>
      <c r="D130" s="35">
        <f>'[11]Data 2006-08'!D50</f>
        <v>10800958.56218048</v>
      </c>
      <c r="E130" s="35">
        <f>'[11]Data 2006-08'!E50</f>
        <v>10972145.670348547</v>
      </c>
      <c r="F130" s="35">
        <f>'[11]Data 2006-08'!F50</f>
        <v>12791149.054054895</v>
      </c>
      <c r="G130" s="106">
        <f>'[11]Data 2009-11'!D$55</f>
        <v>27133020.450744912</v>
      </c>
      <c r="H130" s="106">
        <f>'[11]Data 2009-11'!E$55</f>
        <v>39809474.16262313</v>
      </c>
      <c r="I130" s="106">
        <f>'[11]Data 2009-11'!F$55</f>
        <v>42811168.404355973</v>
      </c>
      <c r="J130" s="106">
        <f>'[11]DNSP Data Inputs 2012-15'!G$55</f>
        <v>40190981.149277501</v>
      </c>
      <c r="K130" s="106">
        <f>'[11]DNSP Data Inputs 2012-15'!H$55</f>
        <v>39489353.750032745</v>
      </c>
      <c r="L130" s="106">
        <f>'[11]DNSP Data Inputs 2012-15'!I$55</f>
        <v>30771605.313338093</v>
      </c>
      <c r="M130" s="106">
        <f>'[11]DNSP Data Inputs 2012-15'!J$55</f>
        <v>28439658.931913845</v>
      </c>
      <c r="N130" s="10"/>
    </row>
    <row r="131" spans="1:16" s="15" customFormat="1" x14ac:dyDescent="0.25">
      <c r="A131" s="7"/>
      <c r="B131" s="93"/>
      <c r="C131" s="21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</row>
    <row r="132" spans="1:16" s="17" customFormat="1" x14ac:dyDescent="0.25">
      <c r="A132" s="4"/>
      <c r="B132" s="19"/>
      <c r="C132" s="19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6" s="17" customFormat="1" x14ac:dyDescent="0.25">
      <c r="A133" s="18" t="s">
        <v>12</v>
      </c>
      <c r="B133" s="24" t="str">
        <f t="shared" ref="B133:B161" si="11">B102</f>
        <v>OPERATING &amp; MAINTENANCE EXPENDITURE (Pre Start Date)</v>
      </c>
      <c r="C133" s="2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6" x14ac:dyDescent="0.25">
      <c r="B134" s="23"/>
      <c r="C134" s="2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6" x14ac:dyDescent="0.25">
      <c r="B135" s="23" t="str">
        <f t="shared" si="11"/>
        <v>Telecommunications systems - WAN / 'Backhaul'</v>
      </c>
      <c r="C135" s="23"/>
      <c r="D135" s="3">
        <f>'[10]Data 2006-08'!D105</f>
        <v>0</v>
      </c>
      <c r="E135" s="3">
        <f>'[10]Data 2006-08'!E105</f>
        <v>0</v>
      </c>
      <c r="F135" s="3">
        <f>'[10]Data 2006-08'!F105</f>
        <v>0</v>
      </c>
      <c r="G135" s="3"/>
      <c r="H135" s="3"/>
      <c r="I135" s="3"/>
      <c r="J135" s="3"/>
      <c r="K135" s="3"/>
      <c r="L135" s="3"/>
      <c r="M135" s="3"/>
    </row>
    <row r="136" spans="1:16" x14ac:dyDescent="0.25">
      <c r="B136" s="23" t="str">
        <f t="shared" si="11"/>
        <v>IT systems</v>
      </c>
      <c r="C136" s="23"/>
      <c r="D136" s="3">
        <f>'[10]Data 2006-08'!D106</f>
        <v>0</v>
      </c>
      <c r="E136" s="3">
        <f>'[10]Data 2006-08'!E106</f>
        <v>0</v>
      </c>
      <c r="F136" s="3">
        <f>'[10]Data 2006-08'!F106</f>
        <v>0</v>
      </c>
      <c r="G136" s="3"/>
      <c r="H136" s="3"/>
      <c r="I136" s="3"/>
      <c r="J136" s="3"/>
      <c r="K136" s="3"/>
      <c r="L136" s="3"/>
      <c r="M136" s="3"/>
    </row>
    <row r="137" spans="1:16" x14ac:dyDescent="0.25">
      <c r="B137" s="23" t="str">
        <f t="shared" si="11"/>
        <v>Technology trials</v>
      </c>
      <c r="C137" s="23"/>
      <c r="D137" s="3">
        <f>'[10]Data 2006-08'!D107</f>
        <v>0</v>
      </c>
      <c r="E137" s="3">
        <f>'[10]Data 2006-08'!E107</f>
        <v>0</v>
      </c>
      <c r="F137" s="3">
        <f>'[10]Data 2006-08'!F107</f>
        <v>0</v>
      </c>
      <c r="G137" s="3"/>
      <c r="H137" s="3"/>
      <c r="I137" s="3"/>
      <c r="J137" s="3"/>
      <c r="K137" s="3"/>
      <c r="L137" s="3"/>
      <c r="M137" s="3"/>
    </row>
    <row r="138" spans="1:16" x14ac:dyDescent="0.25">
      <c r="B138" s="23" t="str">
        <f t="shared" si="11"/>
        <v>Customer response trials</v>
      </c>
      <c r="C138" s="23"/>
      <c r="D138" s="3">
        <f>'[10]Data 2006-08'!D108</f>
        <v>0</v>
      </c>
      <c r="E138" s="3">
        <f>'[10]Data 2006-08'!E108</f>
        <v>0</v>
      </c>
      <c r="F138" s="3">
        <f>'[10]Data 2006-08'!F108</f>
        <v>0</v>
      </c>
      <c r="G138" s="3"/>
      <c r="H138" s="3"/>
      <c r="I138" s="3"/>
      <c r="J138" s="3"/>
      <c r="K138" s="3"/>
      <c r="L138" s="3"/>
      <c r="M138" s="3"/>
    </row>
    <row r="139" spans="1:16" x14ac:dyDescent="0.25">
      <c r="B139" s="23" t="str">
        <f t="shared" si="11"/>
        <v>Project management including training and project office</v>
      </c>
      <c r="C139" s="23"/>
      <c r="D139" s="3">
        <f>'[10]Data 2006-08'!D109</f>
        <v>0</v>
      </c>
      <c r="E139" s="3">
        <f>'[10]Data 2006-08'!E109</f>
        <v>0</v>
      </c>
      <c r="F139" s="3">
        <f>'[10]Data 2006-08'!F109</f>
        <v>0</v>
      </c>
      <c r="G139" s="3"/>
      <c r="H139" s="3"/>
      <c r="I139" s="3"/>
      <c r="J139" s="3"/>
      <c r="K139" s="3"/>
      <c r="L139" s="3"/>
      <c r="M139" s="3"/>
    </row>
    <row r="140" spans="1:16" x14ac:dyDescent="0.25">
      <c r="B140" s="23" t="str">
        <f t="shared" si="11"/>
        <v>Customer service costs</v>
      </c>
      <c r="C140" s="23"/>
      <c r="D140" s="3">
        <f>'[10]Data 2006-08'!D110</f>
        <v>0</v>
      </c>
      <c r="E140" s="3">
        <f>'[10]Data 2006-08'!E110</f>
        <v>0</v>
      </c>
      <c r="F140" s="3">
        <f>'[10]Data 2006-08'!F110</f>
        <v>0</v>
      </c>
      <c r="G140" s="3"/>
      <c r="H140" s="3"/>
      <c r="I140" s="3"/>
      <c r="J140" s="3"/>
      <c r="K140" s="3"/>
      <c r="L140" s="3"/>
      <c r="M140" s="3"/>
    </row>
    <row r="141" spans="1:16" x14ac:dyDescent="0.25">
      <c r="B141" s="23" t="str">
        <f t="shared" si="11"/>
        <v>Other costs of provision of reg. services</v>
      </c>
      <c r="C141" s="23"/>
      <c r="D141" s="3">
        <f>'[10]Data 2006-08'!D111</f>
        <v>0</v>
      </c>
      <c r="E141" s="3">
        <f>'[10]Data 2006-08'!E111</f>
        <v>0</v>
      </c>
      <c r="F141" s="3">
        <f>'[10]Data 2006-08'!F111</f>
        <v>0</v>
      </c>
      <c r="G141" s="3"/>
      <c r="H141" s="3"/>
      <c r="I141" s="3"/>
      <c r="J141" s="3"/>
      <c r="K141" s="3"/>
      <c r="L141" s="3"/>
      <c r="M141" s="3"/>
      <c r="O141" s="33"/>
      <c r="P141" s="36"/>
    </row>
    <row r="142" spans="1:16" x14ac:dyDescent="0.25">
      <c r="B142" s="23" t="str">
        <f t="shared" si="11"/>
        <v>Indirect costs</v>
      </c>
      <c r="C142" s="23"/>
      <c r="D142" s="3">
        <f>'[10]Data 2006-08'!D112</f>
        <v>0</v>
      </c>
      <c r="E142" s="3">
        <f>'[10]Data 2006-08'!E112</f>
        <v>0</v>
      </c>
      <c r="F142" s="3">
        <f>'[10]Data 2006-08'!F112</f>
        <v>0</v>
      </c>
      <c r="G142" s="39"/>
      <c r="H142" s="39"/>
      <c r="I142" s="39"/>
      <c r="J142" s="39"/>
      <c r="K142" s="39"/>
      <c r="L142" s="39"/>
      <c r="M142" s="39"/>
    </row>
    <row r="143" spans="1:16" x14ac:dyDescent="0.25">
      <c r="B143" s="23" t="str">
        <f t="shared" si="11"/>
        <v>Funding:  - Equity raising</v>
      </c>
      <c r="C143" s="19"/>
      <c r="D143" s="3">
        <f>'[10]Data 2006-08'!D113</f>
        <v>0</v>
      </c>
      <c r="E143" s="3">
        <f>'[10]Data 2006-08'!E113</f>
        <v>0</v>
      </c>
      <c r="F143" s="3">
        <f>'[10]Data 2006-08'!F113</f>
        <v>0</v>
      </c>
      <c r="G143" s="3"/>
      <c r="H143" s="3"/>
      <c r="I143" s="3"/>
      <c r="J143" s="3"/>
      <c r="K143" s="3"/>
      <c r="L143" s="3"/>
      <c r="M143" s="3"/>
      <c r="O143" s="33"/>
      <c r="P143" s="36"/>
    </row>
    <row r="144" spans="1:16" x14ac:dyDescent="0.25">
      <c r="B144" s="23" t="str">
        <f t="shared" si="11"/>
        <v xml:space="preserve">                 - Interest and exchange rate hedging costs</v>
      </c>
      <c r="D144" s="3">
        <f>'[10]Data 2006-08'!D114</f>
        <v>0</v>
      </c>
      <c r="E144" s="3">
        <f>'[10]Data 2006-08'!E114</f>
        <v>0</v>
      </c>
      <c r="F144" s="3">
        <f>'[10]Data 2006-08'!F114</f>
        <v>0</v>
      </c>
      <c r="G144" s="25"/>
      <c r="H144" s="25"/>
      <c r="I144" s="25"/>
      <c r="J144" s="25"/>
      <c r="K144" s="25"/>
      <c r="L144" s="25"/>
      <c r="M144" s="25"/>
    </row>
    <row r="145" spans="2:6" x14ac:dyDescent="0.25">
      <c r="B145" s="23"/>
      <c r="C145" s="1"/>
      <c r="D145" s="33"/>
    </row>
    <row r="146" spans="2:6" x14ac:dyDescent="0.25">
      <c r="B146" s="94" t="str">
        <f t="shared" si="11"/>
        <v>Total Pre State Date O&amp;M</v>
      </c>
      <c r="D146" s="108">
        <f>SUM(D135:D144)</f>
        <v>0</v>
      </c>
      <c r="E146" s="108">
        <f t="shared" ref="E146:F146" si="12">SUM(E135:E144)</f>
        <v>0</v>
      </c>
      <c r="F146" s="108">
        <f t="shared" si="12"/>
        <v>0</v>
      </c>
    </row>
    <row r="147" spans="2:6" x14ac:dyDescent="0.25">
      <c r="B147" s="23"/>
    </row>
    <row r="148" spans="2:6" x14ac:dyDescent="0.25">
      <c r="B148" s="94" t="str">
        <f t="shared" si="11"/>
        <v>O &amp; M EXPENDITURE</v>
      </c>
    </row>
    <row r="149" spans="2:6" x14ac:dyDescent="0.25">
      <c r="B149" s="23"/>
    </row>
    <row r="150" spans="2:6" x14ac:dyDescent="0.25">
      <c r="B150" s="94" t="str">
        <f t="shared" si="11"/>
        <v>Maintenance costs</v>
      </c>
    </row>
    <row r="151" spans="2:6" x14ac:dyDescent="0.25">
      <c r="B151" s="23" t="str">
        <f t="shared" si="11"/>
        <v>Standard metering (accumulation meters and interval meters)</v>
      </c>
      <c r="D151" s="33">
        <f>'[10]Data 2006-08'!D40</f>
        <v>480000</v>
      </c>
      <c r="E151" s="33">
        <f>'[10]Data 2006-08'!E40</f>
        <v>397789</v>
      </c>
      <c r="F151" s="33">
        <f>'[10]Data 2006-08'!F40</f>
        <v>522383</v>
      </c>
    </row>
    <row r="152" spans="2:6" x14ac:dyDescent="0.25">
      <c r="B152" s="23" t="str">
        <f t="shared" si="11"/>
        <v>Metering data services (IT related)</v>
      </c>
      <c r="D152" s="33">
        <f>'[10]Data 2006-08'!D41</f>
        <v>2406405</v>
      </c>
      <c r="E152" s="33">
        <f>'[10]Data 2006-08'!E41</f>
        <v>3369242</v>
      </c>
      <c r="F152" s="33">
        <f>'[10]Data 2006-08'!F41</f>
        <v>3831095</v>
      </c>
    </row>
    <row r="153" spans="2:6" x14ac:dyDescent="0.25">
      <c r="B153" s="23" t="str">
        <f t="shared" si="11"/>
        <v>Total</v>
      </c>
      <c r="D153" s="35">
        <f>'[10]Data 2006-08'!D42</f>
        <v>2886405</v>
      </c>
      <c r="E153" s="35">
        <f>'[10]Data 2006-08'!E42</f>
        <v>3767031</v>
      </c>
      <c r="F153" s="35">
        <f>'[10]Data 2006-08'!F42</f>
        <v>4353478</v>
      </c>
    </row>
    <row r="154" spans="2:6" x14ac:dyDescent="0.25">
      <c r="B154" s="23"/>
      <c r="D154" s="33"/>
      <c r="E154" s="33"/>
      <c r="F154" s="33"/>
    </row>
    <row r="155" spans="2:6" x14ac:dyDescent="0.25">
      <c r="B155" s="94" t="str">
        <f t="shared" si="11"/>
        <v>Operating costs</v>
      </c>
      <c r="D155" s="33"/>
      <c r="E155" s="33"/>
      <c r="F155" s="33"/>
    </row>
    <row r="156" spans="2:6" x14ac:dyDescent="0.25">
      <c r="B156" s="23" t="str">
        <f t="shared" si="11"/>
        <v>Metering data services</v>
      </c>
      <c r="D156" s="33">
        <f>'[10]Data 2006-08'!D45</f>
        <v>1015877.2</v>
      </c>
      <c r="E156" s="33">
        <f>'[10]Data 2006-08'!E45</f>
        <v>1421583.2745999997</v>
      </c>
      <c r="F156" s="33">
        <f>'[10]Data 2006-08'!F45</f>
        <v>1616244</v>
      </c>
    </row>
    <row r="157" spans="2:6" x14ac:dyDescent="0.25">
      <c r="B157" s="23" t="str">
        <f t="shared" si="11"/>
        <v>Customer services (meter replacements)</v>
      </c>
      <c r="D157" s="33">
        <f>'[10]Data 2006-08'!D46</f>
        <v>0</v>
      </c>
      <c r="E157" s="33">
        <f>'[10]Data 2006-08'!E46</f>
        <v>0</v>
      </c>
      <c r="F157" s="33">
        <f>'[10]Data 2006-08'!F46</f>
        <v>0</v>
      </c>
    </row>
    <row r="158" spans="2:6" x14ac:dyDescent="0.25">
      <c r="B158" s="23" t="str">
        <f t="shared" si="11"/>
        <v>Indirect Overheads</v>
      </c>
      <c r="D158" s="33">
        <f>'[10]Data 2006-08'!D47</f>
        <v>517344.8</v>
      </c>
      <c r="E158" s="33">
        <f>'[10]Data 2006-08'!E47</f>
        <v>724698.72540000023</v>
      </c>
      <c r="F158" s="33">
        <f>'[10]Data 2006-08'!F47</f>
        <v>824062</v>
      </c>
    </row>
    <row r="159" spans="2:6" x14ac:dyDescent="0.25">
      <c r="B159" s="23" t="str">
        <f t="shared" si="11"/>
        <v>Total</v>
      </c>
      <c r="D159" s="35">
        <f>'[10]Data 2006-08'!D48</f>
        <v>1533222</v>
      </c>
      <c r="E159" s="35">
        <f>'[10]Data 2006-08'!E48</f>
        <v>2146282</v>
      </c>
      <c r="F159" s="35">
        <f>'[10]Data 2006-08'!F48</f>
        <v>2440306</v>
      </c>
    </row>
    <row r="160" spans="2:6" x14ac:dyDescent="0.25">
      <c r="B160" s="23"/>
      <c r="D160" s="33"/>
      <c r="E160" s="33"/>
      <c r="F160" s="33"/>
    </row>
    <row r="161" spans="2:13" x14ac:dyDescent="0.25">
      <c r="B161" s="23" t="str">
        <f t="shared" si="11"/>
        <v>TOTAL O&amp;M Expenditure</v>
      </c>
      <c r="D161" s="35">
        <f>'[10]Data 2006-08'!D50</f>
        <v>4419627</v>
      </c>
      <c r="E161" s="35">
        <f>'[10]Data 2006-08'!E50</f>
        <v>5913313</v>
      </c>
      <c r="F161" s="35">
        <f>'[10]Data 2006-08'!F50</f>
        <v>6793784</v>
      </c>
      <c r="G161" s="106">
        <f>'[10]Data 2009-11'!D$55</f>
        <v>8437513.7038626671</v>
      </c>
      <c r="H161" s="106">
        <f>'[10]Data 2009-11'!E$55</f>
        <v>10167825</v>
      </c>
      <c r="I161" s="106">
        <f>'[10]Data 2009-11'!F$55</f>
        <v>16811908.977192648</v>
      </c>
      <c r="J161" s="106">
        <f>'[10]DNSP Data Inputs 2012-15'!G$55</f>
        <v>20060926.000000004</v>
      </c>
      <c r="K161" s="106">
        <f>'[10]DNSP Data Inputs 2012-15'!H$55</f>
        <v>20139122.988656208</v>
      </c>
      <c r="L161" s="106">
        <f>'[10]DNSP Data Inputs 2012-15'!I$55</f>
        <v>17898729.260155164</v>
      </c>
      <c r="M161" s="106">
        <f>'[10]DNSP Data Inputs 2012-15'!J$55</f>
        <v>16276643.178179944</v>
      </c>
    </row>
    <row r="162" spans="2:13" x14ac:dyDescent="0.25">
      <c r="B162" s="23"/>
    </row>
  </sheetData>
  <mergeCells count="1">
    <mergeCell ref="D6:F6"/>
  </mergeCells>
  <pageMargins left="0.70866141732283472" right="0.70866141732283472" top="0.74803149606299213" bottom="0.74803149606299213" header="0.31496062992125984" footer="0.31496062992125984"/>
  <pageSetup paperSize="8" scale="31" orientation="landscape" verticalDpi="12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"/>
  <sheetViews>
    <sheetView workbookViewId="0"/>
  </sheetViews>
  <sheetFormatPr defaultRowHeight="15" x14ac:dyDescent="0.25"/>
  <sheetData>
    <row r="2" spans="2:2" x14ac:dyDescent="0.25">
      <c r="B2" s="119" t="s">
        <v>118</v>
      </c>
    </row>
  </sheetData>
  <pageMargins left="0.70866141732283472" right="0.70866141732283472" top="0.74803149606299213" bottom="0.74803149606299213" header="0.31496062992125984" footer="0.31496062992125984"/>
  <pageSetup paperSize="9" scale="42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Benchmarking!B77:B81</xm:f>
              <xm:sqref>AB5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"/>
  <sheetViews>
    <sheetView tabSelected="1" workbookViewId="0">
      <selection activeCell="AA5" sqref="AA5"/>
    </sheetView>
  </sheetViews>
  <sheetFormatPr defaultRowHeight="15" x14ac:dyDescent="0.25"/>
  <sheetData>
    <row r="2" spans="2:2" x14ac:dyDescent="0.25">
      <c r="B2" s="119" t="s">
        <v>124</v>
      </c>
    </row>
  </sheetData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3:B75"/>
  <sheetViews>
    <sheetView workbookViewId="0"/>
  </sheetViews>
  <sheetFormatPr defaultRowHeight="15" x14ac:dyDescent="0.25"/>
  <sheetData>
    <row r="3" spans="2:2" x14ac:dyDescent="0.25">
      <c r="B3" s="119" t="s">
        <v>108</v>
      </c>
    </row>
    <row r="21" spans="2:2" x14ac:dyDescent="0.25">
      <c r="B21" s="119" t="s">
        <v>111</v>
      </c>
    </row>
    <row r="39" spans="2:2" x14ac:dyDescent="0.25">
      <c r="B39" s="119" t="s">
        <v>110</v>
      </c>
    </row>
    <row r="57" spans="2:2" x14ac:dyDescent="0.25">
      <c r="B57" s="119" t="s">
        <v>112</v>
      </c>
    </row>
    <row r="75" spans="2:2" x14ac:dyDescent="0.25">
      <c r="B75" s="119" t="s">
        <v>113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S107"/>
  <sheetViews>
    <sheetView zoomScale="85" zoomScaleNormal="85" workbookViewId="0">
      <selection activeCell="O16" sqref="O16"/>
    </sheetView>
  </sheetViews>
  <sheetFormatPr defaultRowHeight="15" x14ac:dyDescent="0.25"/>
  <cols>
    <col min="1" max="1" width="9.140625" style="42"/>
    <col min="2" max="2" width="35.42578125" style="44" customWidth="1"/>
    <col min="3" max="3" width="11.7109375" style="44" customWidth="1"/>
    <col min="4" max="4" width="45.5703125" style="42" customWidth="1"/>
    <col min="5" max="15" width="17.7109375" style="42" customWidth="1"/>
    <col min="16" max="16" width="14.28515625" style="42" bestFit="1" customWidth="1"/>
    <col min="17" max="17" width="44.28515625" style="42" bestFit="1" customWidth="1"/>
    <col min="18" max="18" width="16.85546875" style="42" bestFit="1" customWidth="1"/>
    <col min="19" max="19" width="12.28515625" style="42" bestFit="1" customWidth="1"/>
    <col min="20" max="16384" width="9.140625" style="42"/>
  </cols>
  <sheetData>
    <row r="2" spans="1:15" ht="21" x14ac:dyDescent="0.35">
      <c r="D2" s="43" t="s">
        <v>18</v>
      </c>
    </row>
    <row r="3" spans="1:15" x14ac:dyDescent="0.25">
      <c r="C3" s="46"/>
      <c r="E3" s="47"/>
      <c r="M3" s="45"/>
      <c r="N3" s="48"/>
      <c r="O3" s="48"/>
    </row>
    <row r="4" spans="1:15" x14ac:dyDescent="0.25">
      <c r="B4" s="46"/>
      <c r="C4" s="46"/>
      <c r="D4" s="46" t="s">
        <v>31</v>
      </c>
      <c r="E4" s="47"/>
      <c r="M4" s="45"/>
      <c r="N4" s="48"/>
      <c r="O4" s="48"/>
    </row>
    <row r="5" spans="1:15" x14ac:dyDescent="0.25">
      <c r="B5" s="46"/>
      <c r="C5" s="46"/>
      <c r="E5" s="47"/>
      <c r="M5" s="45"/>
      <c r="N5" s="48"/>
      <c r="O5" s="48"/>
    </row>
    <row r="6" spans="1:15" x14ac:dyDescent="0.25">
      <c r="B6" s="46"/>
      <c r="C6" s="46"/>
      <c r="D6" s="70" t="s">
        <v>26</v>
      </c>
      <c r="E6" s="71"/>
      <c r="F6" s="72"/>
      <c r="G6" s="72"/>
      <c r="H6" s="72"/>
      <c r="I6" s="72"/>
      <c r="J6" s="72"/>
      <c r="K6" s="73"/>
      <c r="M6" s="45"/>
      <c r="N6" s="48"/>
      <c r="O6" s="48"/>
    </row>
    <row r="7" spans="1:15" x14ac:dyDescent="0.25">
      <c r="A7" s="59"/>
      <c r="B7" s="46"/>
      <c r="C7" s="46"/>
      <c r="D7" s="185" t="s">
        <v>21</v>
      </c>
      <c r="E7" s="193" t="s">
        <v>15</v>
      </c>
      <c r="F7" s="190" t="s">
        <v>28</v>
      </c>
      <c r="G7" s="191"/>
      <c r="H7" s="190" t="s">
        <v>24</v>
      </c>
      <c r="I7" s="191"/>
      <c r="J7" s="192" t="s">
        <v>25</v>
      </c>
      <c r="K7" s="191"/>
      <c r="M7" s="48"/>
      <c r="N7" s="48"/>
      <c r="O7" s="48"/>
    </row>
    <row r="8" spans="1:15" ht="30.75" customHeight="1" x14ac:dyDescent="0.25">
      <c r="B8" s="42"/>
      <c r="C8" s="46"/>
      <c r="D8" s="186"/>
      <c r="E8" s="189"/>
      <c r="F8" s="74" t="s">
        <v>22</v>
      </c>
      <c r="G8" s="75" t="s">
        <v>23</v>
      </c>
      <c r="H8" s="74" t="s">
        <v>22</v>
      </c>
      <c r="I8" s="76" t="s">
        <v>23</v>
      </c>
      <c r="J8" s="74" t="s">
        <v>22</v>
      </c>
      <c r="K8" s="75" t="s">
        <v>23</v>
      </c>
      <c r="N8" s="48"/>
      <c r="O8" s="48"/>
    </row>
    <row r="9" spans="1:15" x14ac:dyDescent="0.25">
      <c r="B9" s="42"/>
      <c r="C9" s="46"/>
      <c r="D9" s="68" t="s">
        <v>20</v>
      </c>
      <c r="E9" s="66">
        <f>'AMI Charges Applications Data'!C21</f>
        <v>669745</v>
      </c>
      <c r="F9" s="60">
        <f>SUM(H9:J9)</f>
        <v>598929600.94818985</v>
      </c>
      <c r="G9" s="66">
        <f>F9/$E$9</f>
        <v>894.26513217446916</v>
      </c>
      <c r="H9" s="60">
        <f>O31+O38+O45+O52+O59+O66+O73</f>
        <v>421687628.15505826</v>
      </c>
      <c r="I9" s="60">
        <f>H9/$E$9</f>
        <v>629.62415270746067</v>
      </c>
      <c r="J9" s="66">
        <f>O87</f>
        <v>177241343.16897887</v>
      </c>
      <c r="K9" s="62">
        <f>J9/$E$9</f>
        <v>264.64003937166962</v>
      </c>
      <c r="L9" s="47"/>
      <c r="N9" s="48"/>
      <c r="O9" s="48"/>
    </row>
    <row r="10" spans="1:15" x14ac:dyDescent="0.25">
      <c r="B10" s="42"/>
      <c r="C10" s="46"/>
      <c r="D10" s="68" t="s">
        <v>9</v>
      </c>
      <c r="E10" s="66">
        <f>'AMI Charges Applications Data'!C36</f>
        <v>762898.44279145089</v>
      </c>
      <c r="F10" s="60">
        <f>SUM(H10:J10)</f>
        <v>691391744.83665061</v>
      </c>
      <c r="G10" s="66">
        <f>F10/$E$10</f>
        <v>906.26970256597099</v>
      </c>
      <c r="H10" s="60">
        <f>'AMI Charges Applications Data'!N32</f>
        <v>508388214.49525452</v>
      </c>
      <c r="I10" s="60">
        <f>H10/$E$10</f>
        <v>666.39042103043016</v>
      </c>
      <c r="J10" s="66">
        <f>'AMI Charges Applications Data'!N34</f>
        <v>183002863.950975</v>
      </c>
      <c r="K10" s="62">
        <f>J10/$E$10</f>
        <v>239.87840803733482</v>
      </c>
      <c r="L10" s="47"/>
      <c r="N10" s="48"/>
      <c r="O10" s="48"/>
    </row>
    <row r="11" spans="1:15" x14ac:dyDescent="0.25">
      <c r="B11" s="42"/>
      <c r="C11" s="46"/>
      <c r="D11" s="68" t="s">
        <v>11</v>
      </c>
      <c r="E11" s="66">
        <f>'AMI Charges Applications Data'!C51</f>
        <v>321900.68053084583</v>
      </c>
      <c r="F11" s="60">
        <f>SUM(H11:J11)</f>
        <v>287631825.30424166</v>
      </c>
      <c r="G11" s="66">
        <f>F11/$E$11</f>
        <v>893.54214731670822</v>
      </c>
      <c r="H11" s="60">
        <f>SUM('AMI Charges Applications Data'!N47)</f>
        <v>202113426.43181479</v>
      </c>
      <c r="I11" s="60">
        <f>H11/$E$11</f>
        <v>627.87511383483229</v>
      </c>
      <c r="J11" s="66">
        <f>SUM('AMI Charges Applications Data'!N49)</f>
        <v>85517770.997313052</v>
      </c>
      <c r="K11" s="62">
        <f>J11/$E$11</f>
        <v>265.66508295753164</v>
      </c>
      <c r="L11" s="47"/>
      <c r="N11" s="48"/>
      <c r="O11" s="48"/>
    </row>
    <row r="12" spans="1:15" x14ac:dyDescent="0.25">
      <c r="B12" s="42"/>
      <c r="C12" s="46"/>
      <c r="D12" s="68" t="s">
        <v>10</v>
      </c>
      <c r="E12" s="66">
        <f>'AMI Charges Applications Data'!C66</f>
        <v>695360.98680500023</v>
      </c>
      <c r="F12" s="60">
        <f>SUM(H12:J12)</f>
        <v>827440381.12277102</v>
      </c>
      <c r="G12" s="66">
        <f>F12/$E$12</f>
        <v>1189.9436362178451</v>
      </c>
      <c r="H12" s="60">
        <f>'AMI Charges Applications Data'!N62</f>
        <v>564215765.40211177</v>
      </c>
      <c r="I12" s="60">
        <f>H12/$E$12</f>
        <v>811.39979968467014</v>
      </c>
      <c r="J12" s="66">
        <f>'AMI Charges Applications Data'!N64</f>
        <v>263223804.32085955</v>
      </c>
      <c r="K12" s="62">
        <f>J12/$E$12</f>
        <v>378.54266965753038</v>
      </c>
      <c r="L12" s="47"/>
      <c r="N12" s="48"/>
      <c r="O12" s="48"/>
    </row>
    <row r="13" spans="1:15" x14ac:dyDescent="0.25">
      <c r="B13" s="42"/>
      <c r="C13" s="46"/>
      <c r="D13" s="69" t="s">
        <v>12</v>
      </c>
      <c r="E13" s="67">
        <f>'AMI Charges Applications Data'!C81</f>
        <v>323790.10276237637</v>
      </c>
      <c r="F13" s="65">
        <f>SUM(H13:J13)</f>
        <v>346322318.95497626</v>
      </c>
      <c r="G13" s="67">
        <f>F13/$E$13</f>
        <v>1069.5889590211962</v>
      </c>
      <c r="H13" s="65">
        <f>'AMI Charges Applications Data'!N77</f>
        <v>234921061.72007826</v>
      </c>
      <c r="I13" s="65">
        <f>H13/$E$13</f>
        <v>725.53502937822202</v>
      </c>
      <c r="J13" s="67">
        <f>'AMI Charges Applications Data'!N79</f>
        <v>111400531.69986863</v>
      </c>
      <c r="K13" s="64">
        <f>J13/$E$13</f>
        <v>344.05168888569597</v>
      </c>
      <c r="L13" s="47"/>
      <c r="N13" s="48"/>
      <c r="O13" s="48"/>
    </row>
    <row r="14" spans="1:15" x14ac:dyDescent="0.25">
      <c r="B14" s="50"/>
      <c r="C14" s="46"/>
      <c r="E14" s="47"/>
      <c r="F14" s="47"/>
      <c r="G14" s="47"/>
      <c r="H14" s="47"/>
      <c r="I14" s="47"/>
      <c r="J14" s="47"/>
      <c r="K14" s="47"/>
      <c r="M14" s="49"/>
      <c r="N14" s="48"/>
      <c r="O14" s="48"/>
    </row>
    <row r="15" spans="1:15" x14ac:dyDescent="0.25">
      <c r="B15" s="50"/>
      <c r="C15" s="46"/>
      <c r="D15" s="70" t="s">
        <v>27</v>
      </c>
      <c r="E15" s="71"/>
      <c r="F15" s="72"/>
      <c r="G15" s="72"/>
      <c r="H15" s="72"/>
      <c r="I15" s="72"/>
      <c r="J15" s="72"/>
      <c r="K15" s="72"/>
      <c r="L15" s="72"/>
      <c r="M15" s="85"/>
      <c r="N15" s="48"/>
      <c r="O15" s="48"/>
    </row>
    <row r="16" spans="1:15" ht="43.5" customHeight="1" x14ac:dyDescent="0.25">
      <c r="B16" s="50"/>
      <c r="C16" s="46"/>
      <c r="D16" s="187" t="s">
        <v>21</v>
      </c>
      <c r="E16" s="188" t="s">
        <v>15</v>
      </c>
      <c r="F16" s="183" t="s">
        <v>30</v>
      </c>
      <c r="G16" s="184"/>
      <c r="H16" s="183" t="s">
        <v>29</v>
      </c>
      <c r="I16" s="184"/>
      <c r="J16" s="183" t="s">
        <v>32</v>
      </c>
      <c r="K16" s="184"/>
      <c r="L16" s="183" t="s">
        <v>33</v>
      </c>
      <c r="M16" s="184"/>
      <c r="N16" s="48"/>
      <c r="O16" s="48"/>
    </row>
    <row r="17" spans="2:15" ht="31.5" customHeight="1" x14ac:dyDescent="0.25">
      <c r="B17" s="50"/>
      <c r="C17" s="46"/>
      <c r="D17" s="186"/>
      <c r="E17" s="189"/>
      <c r="F17" s="74" t="s">
        <v>22</v>
      </c>
      <c r="G17" s="75" t="s">
        <v>23</v>
      </c>
      <c r="H17" s="74" t="s">
        <v>22</v>
      </c>
      <c r="I17" s="75" t="s">
        <v>23</v>
      </c>
      <c r="J17" s="83" t="s">
        <v>22</v>
      </c>
      <c r="K17" s="84" t="s">
        <v>23</v>
      </c>
      <c r="L17" s="83" t="s">
        <v>22</v>
      </c>
      <c r="M17" s="84" t="s">
        <v>23</v>
      </c>
      <c r="N17" s="48"/>
      <c r="O17" s="48"/>
    </row>
    <row r="18" spans="2:15" x14ac:dyDescent="0.25">
      <c r="B18" s="50"/>
      <c r="C18" s="46"/>
      <c r="D18" s="68" t="s">
        <v>20</v>
      </c>
      <c r="E18" s="77">
        <f>E9</f>
        <v>669745</v>
      </c>
      <c r="F18" s="77">
        <f>O38+O45+O52</f>
        <v>228789474.40322983</v>
      </c>
      <c r="G18" s="77">
        <f>F18/E18</f>
        <v>341.60684201185501</v>
      </c>
      <c r="H18" s="80">
        <f>O52</f>
        <v>213424658.52322984</v>
      </c>
      <c r="I18" s="80">
        <f>H18/E18</f>
        <v>318.66554960952277</v>
      </c>
      <c r="J18" s="80">
        <f>E18*163</f>
        <v>109168435</v>
      </c>
      <c r="K18" s="77">
        <f>J18/E18</f>
        <v>163</v>
      </c>
      <c r="L18" s="58">
        <f>H18-(E18*163)</f>
        <v>104256223.52322984</v>
      </c>
      <c r="M18" s="77">
        <f>L18/E18</f>
        <v>155.6655496095228</v>
      </c>
      <c r="N18" s="48"/>
      <c r="O18" s="48"/>
    </row>
    <row r="19" spans="2:15" x14ac:dyDescent="0.25">
      <c r="B19" s="50"/>
      <c r="C19" s="46"/>
      <c r="D19" s="68" t="s">
        <v>9</v>
      </c>
      <c r="E19" s="66">
        <f t="shared" ref="E19:E22" si="0">E10</f>
        <v>762898.44279145089</v>
      </c>
      <c r="F19" s="66">
        <f>O39+O46+O53</f>
        <v>360268457.0577597</v>
      </c>
      <c r="G19" s="66">
        <f t="shared" ref="G19:G22" si="1">F19/E19</f>
        <v>472.23645619138352</v>
      </c>
      <c r="H19" s="60">
        <f>O53</f>
        <v>339323855.53168142</v>
      </c>
      <c r="I19" s="60">
        <f t="shared" ref="I19:I22" si="2">H19/E19</f>
        <v>444.78247234336067</v>
      </c>
      <c r="J19" s="60">
        <f t="shared" ref="J19:J22" si="3">E19*163</f>
        <v>124352446.17500649</v>
      </c>
      <c r="K19" s="66">
        <f t="shared" ref="K19:K22" si="4">J19/E19</f>
        <v>163</v>
      </c>
      <c r="L19" s="61">
        <f>H19-(E19*163)</f>
        <v>214971409.35667491</v>
      </c>
      <c r="M19" s="66">
        <f>L19/E19</f>
        <v>281.78247234336067</v>
      </c>
      <c r="N19" s="48"/>
      <c r="O19" s="48"/>
    </row>
    <row r="20" spans="2:15" x14ac:dyDescent="0.25">
      <c r="B20" s="50"/>
      <c r="C20" s="46"/>
      <c r="D20" s="68" t="s">
        <v>11</v>
      </c>
      <c r="E20" s="66">
        <f t="shared" si="0"/>
        <v>321900.68053084583</v>
      </c>
      <c r="F20" s="66">
        <f>O40+O47+O54</f>
        <v>139192326.23168197</v>
      </c>
      <c r="G20" s="66">
        <f t="shared" si="1"/>
        <v>432.40767929455808</v>
      </c>
      <c r="H20" s="60">
        <f>O54</f>
        <v>134195740.57425031</v>
      </c>
      <c r="I20" s="60">
        <f t="shared" si="2"/>
        <v>416.88554479893725</v>
      </c>
      <c r="J20" s="60">
        <f t="shared" si="3"/>
        <v>52469810.926527873</v>
      </c>
      <c r="K20" s="66">
        <f t="shared" si="4"/>
        <v>163</v>
      </c>
      <c r="L20" s="61">
        <f>H20-(E20*163)</f>
        <v>81725929.647722438</v>
      </c>
      <c r="M20" s="66">
        <f>L20/E20</f>
        <v>253.88554479893722</v>
      </c>
      <c r="N20" s="48"/>
      <c r="O20" s="48"/>
    </row>
    <row r="21" spans="2:15" x14ac:dyDescent="0.25">
      <c r="B21" s="50"/>
      <c r="C21" s="46"/>
      <c r="D21" s="68" t="s">
        <v>10</v>
      </c>
      <c r="E21" s="66">
        <f t="shared" si="0"/>
        <v>695360.98680500023</v>
      </c>
      <c r="F21" s="79" t="s">
        <v>17</v>
      </c>
      <c r="G21" s="79" t="s">
        <v>17</v>
      </c>
      <c r="H21" s="79" t="s">
        <v>17</v>
      </c>
      <c r="I21" s="78" t="s">
        <v>17</v>
      </c>
      <c r="J21" s="79" t="s">
        <v>17</v>
      </c>
      <c r="K21" s="79" t="s">
        <v>17</v>
      </c>
      <c r="L21" s="81" t="s">
        <v>17</v>
      </c>
      <c r="M21" s="79" t="s">
        <v>17</v>
      </c>
      <c r="N21" s="48"/>
      <c r="O21" s="48"/>
    </row>
    <row r="22" spans="2:15" x14ac:dyDescent="0.25">
      <c r="B22" s="50"/>
      <c r="C22" s="46"/>
      <c r="D22" s="69" t="s">
        <v>12</v>
      </c>
      <c r="E22" s="67">
        <f t="shared" si="0"/>
        <v>323790.10276237637</v>
      </c>
      <c r="F22" s="67">
        <f>O42+O49+O56</f>
        <v>109158864.10757025</v>
      </c>
      <c r="G22" s="67">
        <f t="shared" si="1"/>
        <v>337.12847667762082</v>
      </c>
      <c r="H22" s="65">
        <f>O56</f>
        <v>98958721.506469473</v>
      </c>
      <c r="I22" s="65">
        <f t="shared" si="2"/>
        <v>305.62614688409258</v>
      </c>
      <c r="J22" s="65">
        <f t="shared" si="3"/>
        <v>52777786.750267349</v>
      </c>
      <c r="K22" s="67">
        <f t="shared" si="4"/>
        <v>163</v>
      </c>
      <c r="L22" s="63">
        <f>H22-(E22*163)</f>
        <v>46180934.756202124</v>
      </c>
      <c r="M22" s="67">
        <f>L22/E22</f>
        <v>142.62614688409258</v>
      </c>
      <c r="N22" s="48"/>
      <c r="O22" s="48"/>
    </row>
    <row r="23" spans="2:15" x14ac:dyDescent="0.25">
      <c r="B23" s="50"/>
      <c r="C23" s="46"/>
      <c r="E23" s="47"/>
      <c r="F23" s="47"/>
      <c r="G23" s="47"/>
      <c r="H23" s="47"/>
      <c r="I23" s="47"/>
      <c r="J23" s="47"/>
      <c r="K23" s="47"/>
      <c r="M23" s="49"/>
      <c r="N23" s="48"/>
      <c r="O23" s="48"/>
    </row>
    <row r="24" spans="2:15" x14ac:dyDescent="0.25">
      <c r="B24" s="50"/>
      <c r="C24" s="46"/>
      <c r="E24" s="47"/>
      <c r="F24" s="47"/>
      <c r="G24" s="47"/>
      <c r="H24" s="47"/>
      <c r="I24" s="47"/>
      <c r="J24" s="47"/>
      <c r="K24" s="47"/>
      <c r="M24" s="49"/>
      <c r="N24" s="48"/>
      <c r="O24" s="48"/>
    </row>
    <row r="25" spans="2:15" x14ac:dyDescent="0.25">
      <c r="B25" s="50"/>
      <c r="C25" s="46"/>
      <c r="E25" s="47"/>
      <c r="F25" s="47"/>
      <c r="G25" s="47"/>
      <c r="H25" s="47"/>
      <c r="I25" s="47"/>
      <c r="J25" s="47"/>
      <c r="K25" s="47"/>
      <c r="M25" s="49"/>
      <c r="N25" s="48"/>
      <c r="O25" s="48"/>
    </row>
    <row r="26" spans="2:15" x14ac:dyDescent="0.25">
      <c r="B26" s="51"/>
      <c r="C26" s="46"/>
      <c r="E26" s="47"/>
      <c r="F26" s="47"/>
      <c r="G26" s="47"/>
      <c r="H26" s="47"/>
      <c r="I26" s="47"/>
      <c r="J26" s="47"/>
      <c r="K26" s="47"/>
      <c r="M26" s="48"/>
      <c r="N26" s="48"/>
      <c r="O26" s="48"/>
    </row>
    <row r="27" spans="2:15" s="52" customFormat="1" x14ac:dyDescent="0.25">
      <c r="B27" s="53"/>
      <c r="C27" s="53"/>
    </row>
    <row r="28" spans="2:15" s="54" customFormat="1" x14ac:dyDescent="0.25">
      <c r="B28" s="53"/>
      <c r="C28" s="53"/>
      <c r="E28" s="54">
        <v>2006</v>
      </c>
      <c r="F28" s="54">
        <f>E28+1</f>
        <v>2007</v>
      </c>
      <c r="G28" s="54">
        <f t="shared" ref="G28:N28" si="5">F28+1</f>
        <v>2008</v>
      </c>
      <c r="H28" s="54">
        <f t="shared" si="5"/>
        <v>2009</v>
      </c>
      <c r="I28" s="54">
        <f t="shared" si="5"/>
        <v>2010</v>
      </c>
      <c r="J28" s="54">
        <f t="shared" si="5"/>
        <v>2011</v>
      </c>
      <c r="K28" s="54">
        <f t="shared" si="5"/>
        <v>2012</v>
      </c>
      <c r="L28" s="54">
        <f t="shared" si="5"/>
        <v>2013</v>
      </c>
      <c r="M28" s="54">
        <f t="shared" si="5"/>
        <v>2014</v>
      </c>
      <c r="N28" s="54">
        <f t="shared" si="5"/>
        <v>2015</v>
      </c>
      <c r="O28" s="55" t="s">
        <v>6</v>
      </c>
    </row>
    <row r="29" spans="2:15" x14ac:dyDescent="0.25">
      <c r="D29" s="45"/>
      <c r="E29" s="45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2:15" x14ac:dyDescent="0.25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2:15" x14ac:dyDescent="0.25">
      <c r="B31" s="47" t="s">
        <v>20</v>
      </c>
      <c r="C31" s="56" t="s">
        <v>13</v>
      </c>
      <c r="D31" s="56" t="s">
        <v>2</v>
      </c>
      <c r="E31" s="56">
        <f>'AMI Charges Applications Data'!D10</f>
        <v>0</v>
      </c>
      <c r="F31" s="56">
        <f>'AMI Charges Applications Data'!E10</f>
        <v>0</v>
      </c>
      <c r="G31" s="56">
        <f>'AMI Charges Applications Data'!F10</f>
        <v>0</v>
      </c>
      <c r="H31" s="56">
        <f>'AMI Charges Applications Data'!G10</f>
        <v>0</v>
      </c>
      <c r="I31" s="56">
        <f>'AMI Charges Applications Data'!H10</f>
        <v>0</v>
      </c>
      <c r="J31" s="56">
        <f>'AMI Charges Applications Data'!I10</f>
        <v>0</v>
      </c>
      <c r="K31" s="56">
        <f>'AMI Charges Applications Data'!J10</f>
        <v>0</v>
      </c>
      <c r="L31" s="56">
        <f>'AMI Charges Applications Data'!K10</f>
        <v>0</v>
      </c>
      <c r="M31" s="56">
        <f>'AMI Charges Applications Data'!L10</f>
        <v>0</v>
      </c>
      <c r="N31" s="56">
        <f>'AMI Charges Applications Data'!M10</f>
        <v>0</v>
      </c>
      <c r="O31" s="56">
        <f>'AMI Charges Applications Data'!N10</f>
        <v>0</v>
      </c>
    </row>
    <row r="32" spans="2:15" x14ac:dyDescent="0.25">
      <c r="B32" s="50" t="s">
        <v>9</v>
      </c>
      <c r="C32" s="56" t="s">
        <v>13</v>
      </c>
      <c r="D32" s="56" t="s">
        <v>2</v>
      </c>
      <c r="E32" s="56">
        <f>'AMI Charges Applications Data'!D25</f>
        <v>0</v>
      </c>
      <c r="F32" s="56">
        <f>'AMI Charges Applications Data'!E25</f>
        <v>0</v>
      </c>
      <c r="G32" s="56">
        <f>'AMI Charges Applications Data'!F25</f>
        <v>0</v>
      </c>
      <c r="H32" s="56">
        <f>'AMI Charges Applications Data'!G25</f>
        <v>0</v>
      </c>
      <c r="I32" s="56">
        <f>'AMI Charges Applications Data'!H25</f>
        <v>0</v>
      </c>
      <c r="J32" s="56">
        <f>'AMI Charges Applications Data'!I25</f>
        <v>0</v>
      </c>
      <c r="K32" s="56">
        <f>'AMI Charges Applications Data'!J25</f>
        <v>0</v>
      </c>
      <c r="L32" s="56">
        <f>'AMI Charges Applications Data'!K25</f>
        <v>0</v>
      </c>
      <c r="M32" s="56">
        <f>'AMI Charges Applications Data'!L25</f>
        <v>0</v>
      </c>
      <c r="N32" s="56">
        <f>'AMI Charges Applications Data'!M25</f>
        <v>0</v>
      </c>
      <c r="O32" s="56">
        <f>'AMI Charges Applications Data'!N25</f>
        <v>0</v>
      </c>
    </row>
    <row r="33" spans="2:19" x14ac:dyDescent="0.25">
      <c r="B33" s="50" t="s">
        <v>11</v>
      </c>
      <c r="C33" s="56" t="s">
        <v>13</v>
      </c>
      <c r="D33" s="56" t="s">
        <v>2</v>
      </c>
      <c r="E33" s="56">
        <f>'AMI Charges Applications Data'!D40</f>
        <v>0</v>
      </c>
      <c r="F33" s="56">
        <f>'AMI Charges Applications Data'!E40</f>
        <v>0</v>
      </c>
      <c r="G33" s="56">
        <f>'AMI Charges Applications Data'!F40</f>
        <v>0</v>
      </c>
      <c r="H33" s="56">
        <f>'AMI Charges Applications Data'!G40</f>
        <v>0</v>
      </c>
      <c r="I33" s="56">
        <f>'AMI Charges Applications Data'!H40</f>
        <v>0</v>
      </c>
      <c r="J33" s="56">
        <f>'AMI Charges Applications Data'!I40</f>
        <v>0</v>
      </c>
      <c r="K33" s="56">
        <f>'AMI Charges Applications Data'!J40</f>
        <v>0</v>
      </c>
      <c r="L33" s="56">
        <f>'AMI Charges Applications Data'!K40</f>
        <v>0</v>
      </c>
      <c r="M33" s="56">
        <f>'AMI Charges Applications Data'!L40</f>
        <v>0</v>
      </c>
      <c r="N33" s="56">
        <f>'AMI Charges Applications Data'!M40</f>
        <v>0</v>
      </c>
      <c r="O33" s="56">
        <f>'AMI Charges Applications Data'!N40</f>
        <v>0</v>
      </c>
    </row>
    <row r="34" spans="2:19" x14ac:dyDescent="0.25">
      <c r="B34" s="50" t="s">
        <v>10</v>
      </c>
      <c r="C34" s="56" t="s">
        <v>13</v>
      </c>
      <c r="D34" s="56" t="s">
        <v>2</v>
      </c>
      <c r="E34" s="57">
        <f>'AMI Charges Applications Data'!D55</f>
        <v>0</v>
      </c>
      <c r="F34" s="57">
        <f>'AMI Charges Applications Data'!E55</f>
        <v>0</v>
      </c>
      <c r="G34" s="57">
        <f>'AMI Charges Applications Data'!F55</f>
        <v>0</v>
      </c>
      <c r="H34" s="57">
        <f>'AMI Charges Applications Data'!G55</f>
        <v>0</v>
      </c>
      <c r="I34" s="57">
        <f>'AMI Charges Applications Data'!H55</f>
        <v>0</v>
      </c>
      <c r="J34" s="57">
        <f>'AMI Charges Applications Data'!I55</f>
        <v>0</v>
      </c>
      <c r="K34" s="57">
        <f>'AMI Charges Applications Data'!J55</f>
        <v>0</v>
      </c>
      <c r="L34" s="57">
        <f>'AMI Charges Applications Data'!K55</f>
        <v>0</v>
      </c>
      <c r="M34" s="57">
        <f>'AMI Charges Applications Data'!L55</f>
        <v>0</v>
      </c>
      <c r="N34" s="57">
        <f>'AMI Charges Applications Data'!M55</f>
        <v>0</v>
      </c>
      <c r="O34" s="57">
        <f>'AMI Charges Applications Data'!N55</f>
        <v>0</v>
      </c>
    </row>
    <row r="35" spans="2:19" x14ac:dyDescent="0.25">
      <c r="B35" s="50" t="s">
        <v>12</v>
      </c>
      <c r="C35" s="56" t="s">
        <v>13</v>
      </c>
      <c r="D35" s="56" t="s">
        <v>2</v>
      </c>
      <c r="E35" s="56">
        <f>'AMI Charges Applications Data'!D70</f>
        <v>0</v>
      </c>
      <c r="F35" s="56">
        <f>'AMI Charges Applications Data'!E70</f>
        <v>0</v>
      </c>
      <c r="G35" s="56">
        <f>'AMI Charges Applications Data'!F70</f>
        <v>0</v>
      </c>
      <c r="H35" s="56">
        <f>'AMI Charges Applications Data'!G70</f>
        <v>0</v>
      </c>
      <c r="I35" s="56">
        <f>'AMI Charges Applications Data'!H70</f>
        <v>0</v>
      </c>
      <c r="J35" s="56">
        <f>'AMI Charges Applications Data'!I70</f>
        <v>0</v>
      </c>
      <c r="K35" s="56">
        <f>'AMI Charges Applications Data'!J70</f>
        <v>0</v>
      </c>
      <c r="L35" s="56">
        <f>'AMI Charges Applications Data'!K70</f>
        <v>0</v>
      </c>
      <c r="M35" s="56">
        <f>'AMI Charges Applications Data'!L70</f>
        <v>0</v>
      </c>
      <c r="N35" s="56">
        <f>'AMI Charges Applications Data'!M70</f>
        <v>0</v>
      </c>
      <c r="O35" s="56">
        <f>'AMI Charges Applications Data'!N70</f>
        <v>0</v>
      </c>
    </row>
    <row r="36" spans="2:19" x14ac:dyDescent="0.25"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</row>
    <row r="37" spans="2:19" x14ac:dyDescent="0.25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</row>
    <row r="38" spans="2:19" x14ac:dyDescent="0.25">
      <c r="B38" s="47" t="str">
        <f>B31</f>
        <v xml:space="preserve">United Energy </v>
      </c>
      <c r="C38" s="56" t="s">
        <v>13</v>
      </c>
      <c r="D38" s="56" t="s">
        <v>0</v>
      </c>
      <c r="E38" s="56">
        <f>'AMI Charges Applications Data'!D11</f>
        <v>0</v>
      </c>
      <c r="F38" s="56">
        <f>'AMI Charges Applications Data'!E11</f>
        <v>0</v>
      </c>
      <c r="G38" s="56">
        <f>'AMI Charges Applications Data'!F11</f>
        <v>0</v>
      </c>
      <c r="H38" s="56">
        <f>'AMI Charges Applications Data'!G11</f>
        <v>3869552.5300000003</v>
      </c>
      <c r="I38" s="56">
        <f>'AMI Charges Applications Data'!H11</f>
        <v>3588444</v>
      </c>
      <c r="J38" s="56">
        <f>'AMI Charges Applications Data'!I11</f>
        <v>4015842.4699999997</v>
      </c>
      <c r="K38" s="56">
        <f>'AMI Charges Applications Data'!J11</f>
        <v>829899.98999999964</v>
      </c>
      <c r="L38" s="56">
        <f>'AMI Charges Applications Data'!K11</f>
        <v>0</v>
      </c>
      <c r="M38" s="56">
        <f>'AMI Charges Applications Data'!L11</f>
        <v>0</v>
      </c>
      <c r="N38" s="56">
        <f>'AMI Charges Applications Data'!M11</f>
        <v>0</v>
      </c>
      <c r="O38" s="56">
        <f>'AMI Charges Applications Data'!N11</f>
        <v>12303738.99</v>
      </c>
    </row>
    <row r="39" spans="2:19" x14ac:dyDescent="0.25">
      <c r="B39" s="47" t="str">
        <f t="shared" ref="B39:B42" si="6">B32</f>
        <v>Powercor</v>
      </c>
      <c r="C39" s="56" t="s">
        <v>13</v>
      </c>
      <c r="D39" s="56" t="s">
        <v>0</v>
      </c>
      <c r="E39" s="56">
        <f>'AMI Charges Applications Data'!D26</f>
        <v>0</v>
      </c>
      <c r="F39" s="56">
        <f>'AMI Charges Applications Data'!E26</f>
        <v>0</v>
      </c>
      <c r="G39" s="56">
        <f>'AMI Charges Applications Data'!F26</f>
        <v>0</v>
      </c>
      <c r="H39" s="56">
        <f>'AMI Charges Applications Data'!G26</f>
        <v>4532473.805165709</v>
      </c>
      <c r="I39" s="56">
        <f>'AMI Charges Applications Data'!H26</f>
        <v>3901457.2776575359</v>
      </c>
      <c r="J39" s="56">
        <f>'AMI Charges Applications Data'!I26</f>
        <v>1584273.64</v>
      </c>
      <c r="K39" s="56">
        <f>'AMI Charges Applications Data'!J26</f>
        <v>949291.2300000001</v>
      </c>
      <c r="L39" s="56">
        <f>'AMI Charges Applications Data'!K26</f>
        <v>39119.330790101485</v>
      </c>
      <c r="M39" s="56">
        <f>'AMI Charges Applications Data'!L26</f>
        <v>0</v>
      </c>
      <c r="N39" s="56">
        <f>'AMI Charges Applications Data'!M26</f>
        <v>0</v>
      </c>
      <c r="O39" s="56">
        <f>'AMI Charges Applications Data'!N26</f>
        <v>11006615.283613347</v>
      </c>
    </row>
    <row r="40" spans="2:19" x14ac:dyDescent="0.25">
      <c r="B40" s="47" t="str">
        <f t="shared" si="6"/>
        <v>Citipower</v>
      </c>
      <c r="C40" s="56" t="s">
        <v>13</v>
      </c>
      <c r="D40" s="56" t="s">
        <v>0</v>
      </c>
      <c r="E40" s="56">
        <f>'AMI Charges Applications Data'!D41</f>
        <v>0</v>
      </c>
      <c r="F40" s="56">
        <f>'AMI Charges Applications Data'!E41</f>
        <v>0</v>
      </c>
      <c r="G40" s="56">
        <f>'AMI Charges Applications Data'!F41</f>
        <v>0</v>
      </c>
      <c r="H40" s="56">
        <f>'AMI Charges Applications Data'!G41</f>
        <v>1468615.4141471654</v>
      </c>
      <c r="I40" s="56">
        <f>'AMI Charges Applications Data'!H41</f>
        <v>1304832.0340102196</v>
      </c>
      <c r="J40" s="56">
        <f>'AMI Charges Applications Data'!I41</f>
        <v>115969.86000000002</v>
      </c>
      <c r="K40" s="56">
        <f>'AMI Charges Applications Data'!J41</f>
        <v>27756.02</v>
      </c>
      <c r="L40" s="56">
        <f>'AMI Charges Applications Data'!K41</f>
        <v>3833.4159707219183</v>
      </c>
      <c r="M40" s="56">
        <f>'AMI Charges Applications Data'!L41</f>
        <v>0</v>
      </c>
      <c r="N40" s="56">
        <f>'AMI Charges Applications Data'!M41</f>
        <v>0</v>
      </c>
      <c r="O40" s="56">
        <f>'AMI Charges Applications Data'!N41</f>
        <v>2921006.7441281066</v>
      </c>
    </row>
    <row r="41" spans="2:19" x14ac:dyDescent="0.25">
      <c r="B41" s="47" t="str">
        <f t="shared" si="6"/>
        <v>SP Ausnet</v>
      </c>
      <c r="C41" s="56" t="s">
        <v>13</v>
      </c>
      <c r="D41" s="56" t="s">
        <v>0</v>
      </c>
      <c r="E41" s="57" t="s">
        <v>17</v>
      </c>
      <c r="F41" s="57" t="s">
        <v>17</v>
      </c>
      <c r="G41" s="57" t="s">
        <v>17</v>
      </c>
      <c r="H41" s="57" t="s">
        <v>17</v>
      </c>
      <c r="I41" s="57" t="s">
        <v>17</v>
      </c>
      <c r="J41" s="57" t="s">
        <v>17</v>
      </c>
      <c r="K41" s="57" t="s">
        <v>17</v>
      </c>
      <c r="L41" s="57" t="s">
        <v>17</v>
      </c>
      <c r="M41" s="57" t="s">
        <v>17</v>
      </c>
      <c r="N41" s="57" t="s">
        <v>17</v>
      </c>
      <c r="O41" s="57" t="s">
        <v>17</v>
      </c>
    </row>
    <row r="42" spans="2:19" x14ac:dyDescent="0.25">
      <c r="B42" s="47" t="str">
        <f t="shared" si="6"/>
        <v>Jemena</v>
      </c>
      <c r="C42" s="56" t="s">
        <v>13</v>
      </c>
      <c r="D42" s="56" t="s">
        <v>0</v>
      </c>
      <c r="E42" s="56">
        <f>'AMI Charges Applications Data'!D71</f>
        <v>0</v>
      </c>
      <c r="F42" s="56">
        <f>'AMI Charges Applications Data'!E71</f>
        <v>0</v>
      </c>
      <c r="G42" s="56">
        <f>'AMI Charges Applications Data'!F71</f>
        <v>0</v>
      </c>
      <c r="H42" s="56">
        <f>'AMI Charges Applications Data'!G71</f>
        <v>2949525.1749878968</v>
      </c>
      <c r="I42" s="56">
        <f>'AMI Charges Applications Data'!H71</f>
        <v>1859749</v>
      </c>
      <c r="J42" s="56">
        <f>'AMI Charges Applications Data'!I71</f>
        <v>1568574.6528388122</v>
      </c>
      <c r="K42" s="56">
        <f>'AMI Charges Applications Data'!J71</f>
        <v>74072.104309416609</v>
      </c>
      <c r="L42" s="56">
        <f>'AMI Charges Applications Data'!K71</f>
        <v>46819.839679358724</v>
      </c>
      <c r="M42" s="56">
        <f>'AMI Charges Applications Data'!L71</f>
        <v>0</v>
      </c>
      <c r="N42" s="56">
        <f>'AMI Charges Applications Data'!M71</f>
        <v>0</v>
      </c>
      <c r="O42" s="56">
        <f>'AMI Charges Applications Data'!N71</f>
        <v>6498740.7718154844</v>
      </c>
      <c r="P42" s="47"/>
      <c r="R42" s="56"/>
      <c r="S42" s="47"/>
    </row>
    <row r="43" spans="2:19" x14ac:dyDescent="0.25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R43" s="56"/>
      <c r="S43" s="47"/>
    </row>
    <row r="44" spans="2:19" x14ac:dyDescent="0.25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R44" s="56"/>
      <c r="S44" s="47"/>
    </row>
    <row r="45" spans="2:19" x14ac:dyDescent="0.25">
      <c r="B45" s="47" t="str">
        <f>B38</f>
        <v xml:space="preserve">United Energy </v>
      </c>
      <c r="C45" s="56" t="s">
        <v>13</v>
      </c>
      <c r="D45" s="56" t="s">
        <v>1</v>
      </c>
      <c r="E45" s="56">
        <f>'AMI Charges Applications Data'!D12</f>
        <v>0</v>
      </c>
      <c r="F45" s="56">
        <f>'AMI Charges Applications Data'!E12</f>
        <v>0</v>
      </c>
      <c r="G45" s="56">
        <f>'AMI Charges Applications Data'!F12</f>
        <v>0</v>
      </c>
      <c r="H45" s="56">
        <f>'AMI Charges Applications Data'!G12</f>
        <v>0</v>
      </c>
      <c r="I45" s="56">
        <f>'AMI Charges Applications Data'!H12</f>
        <v>0</v>
      </c>
      <c r="J45" s="56">
        <f>'AMI Charges Applications Data'!I12</f>
        <v>1767573.8999999987</v>
      </c>
      <c r="K45" s="56">
        <f>'AMI Charges Applications Data'!J12</f>
        <v>1293502.9900000002</v>
      </c>
      <c r="L45" s="56">
        <f>'AMI Charges Applications Data'!K12</f>
        <v>0</v>
      </c>
      <c r="M45" s="56">
        <f>'AMI Charges Applications Data'!L12</f>
        <v>0</v>
      </c>
      <c r="N45" s="56">
        <f>'AMI Charges Applications Data'!M12</f>
        <v>0</v>
      </c>
      <c r="O45" s="56">
        <f>'AMI Charges Applications Data'!N12</f>
        <v>3061076.8899999987</v>
      </c>
      <c r="R45" s="56"/>
      <c r="S45" s="47"/>
    </row>
    <row r="46" spans="2:19" x14ac:dyDescent="0.25">
      <c r="B46" s="47" t="str">
        <f t="shared" ref="B46:B49" si="7">B39</f>
        <v>Powercor</v>
      </c>
      <c r="C46" s="56" t="s">
        <v>13</v>
      </c>
      <c r="D46" s="56" t="s">
        <v>1</v>
      </c>
      <c r="E46" s="56">
        <f>'AMI Charges Applications Data'!D27</f>
        <v>0</v>
      </c>
      <c r="F46" s="56">
        <f>'AMI Charges Applications Data'!E27</f>
        <v>0</v>
      </c>
      <c r="G46" s="56">
        <f>'AMI Charges Applications Data'!F27</f>
        <v>0</v>
      </c>
      <c r="H46" s="56">
        <f>'AMI Charges Applications Data'!G27</f>
        <v>4149037.5409553209</v>
      </c>
      <c r="I46" s="56">
        <f>'AMI Charges Applications Data'!H27</f>
        <v>4817824.8053511195</v>
      </c>
      <c r="J46" s="56">
        <f>'AMI Charges Applications Data'!I27</f>
        <v>760748.95</v>
      </c>
      <c r="K46" s="56">
        <f>'AMI Charges Applications Data'!J27</f>
        <v>160108.47999999998</v>
      </c>
      <c r="L46" s="56">
        <f>'AMI Charges Applications Data'!K27</f>
        <v>50266.466158505798</v>
      </c>
      <c r="M46" s="56">
        <f>'AMI Charges Applications Data'!L27</f>
        <v>0</v>
      </c>
      <c r="N46" s="56">
        <f>'AMI Charges Applications Data'!M27</f>
        <v>0</v>
      </c>
      <c r="O46" s="56">
        <f>'AMI Charges Applications Data'!N27</f>
        <v>9937986.2424649447</v>
      </c>
      <c r="R46" s="56"/>
      <c r="S46" s="47"/>
    </row>
    <row r="47" spans="2:19" x14ac:dyDescent="0.25">
      <c r="B47" s="47" t="str">
        <f t="shared" si="7"/>
        <v>Citipower</v>
      </c>
      <c r="C47" s="56" t="s">
        <v>13</v>
      </c>
      <c r="D47" s="56" t="s">
        <v>1</v>
      </c>
      <c r="E47" s="56">
        <f>'AMI Charges Applications Data'!D42</f>
        <v>0</v>
      </c>
      <c r="F47" s="56">
        <f>'AMI Charges Applications Data'!E42</f>
        <v>0</v>
      </c>
      <c r="G47" s="56">
        <f>'AMI Charges Applications Data'!F42</f>
        <v>0</v>
      </c>
      <c r="H47" s="56">
        <f>'AMI Charges Applications Data'!G42</f>
        <v>618842.83315334772</v>
      </c>
      <c r="I47" s="56">
        <f>'AMI Charges Applications Data'!H42</f>
        <v>1131573.3510638534</v>
      </c>
      <c r="J47" s="56">
        <f>'AMI Charges Applications Data'!I42</f>
        <v>272171.59999999998</v>
      </c>
      <c r="K47" s="56">
        <f>'AMI Charges Applications Data'!J42</f>
        <v>46787.919999999991</v>
      </c>
      <c r="L47" s="56">
        <f>'AMI Charges Applications Data'!K42</f>
        <v>6203.2090863526764</v>
      </c>
      <c r="M47" s="56">
        <f>'AMI Charges Applications Data'!L42</f>
        <v>0</v>
      </c>
      <c r="N47" s="56">
        <f>'AMI Charges Applications Data'!M42</f>
        <v>0</v>
      </c>
      <c r="O47" s="56">
        <f>'AMI Charges Applications Data'!N42</f>
        <v>2075578.9133035538</v>
      </c>
      <c r="R47" s="56"/>
      <c r="S47" s="47"/>
    </row>
    <row r="48" spans="2:19" x14ac:dyDescent="0.25">
      <c r="B48" s="47" t="str">
        <f t="shared" si="7"/>
        <v>SP Ausnet</v>
      </c>
      <c r="C48" s="56" t="s">
        <v>13</v>
      </c>
      <c r="D48" s="56" t="s">
        <v>1</v>
      </c>
      <c r="E48" s="57" t="s">
        <v>17</v>
      </c>
      <c r="F48" s="57" t="s">
        <v>17</v>
      </c>
      <c r="G48" s="57" t="s">
        <v>17</v>
      </c>
      <c r="H48" s="57" t="s">
        <v>17</v>
      </c>
      <c r="I48" s="57" t="s">
        <v>17</v>
      </c>
      <c r="J48" s="57" t="s">
        <v>17</v>
      </c>
      <c r="K48" s="57" t="s">
        <v>17</v>
      </c>
      <c r="L48" s="57" t="s">
        <v>17</v>
      </c>
      <c r="M48" s="57" t="s">
        <v>17</v>
      </c>
      <c r="N48" s="57" t="s">
        <v>17</v>
      </c>
      <c r="O48" s="57" t="s">
        <v>17</v>
      </c>
      <c r="R48" s="56"/>
    </row>
    <row r="49" spans="2:16" x14ac:dyDescent="0.25">
      <c r="B49" s="47" t="str">
        <f t="shared" si="7"/>
        <v>Jemena</v>
      </c>
      <c r="C49" s="56" t="s">
        <v>13</v>
      </c>
      <c r="D49" s="56" t="s">
        <v>1</v>
      </c>
      <c r="E49" s="56">
        <f>'AMI Charges Applications Data'!D72</f>
        <v>0</v>
      </c>
      <c r="F49" s="56">
        <f>'AMI Charges Applications Data'!E72</f>
        <v>0</v>
      </c>
      <c r="G49" s="56">
        <f>'AMI Charges Applications Data'!F72</f>
        <v>0</v>
      </c>
      <c r="H49" s="56">
        <f>'AMI Charges Applications Data'!G72</f>
        <v>870338.00501210347</v>
      </c>
      <c r="I49" s="56">
        <f>'AMI Charges Applications Data'!H72</f>
        <v>1141834</v>
      </c>
      <c r="J49" s="56">
        <f>'AMI Charges Applications Data'!I72</f>
        <v>963017.75006437069</v>
      </c>
      <c r="K49" s="56">
        <f>'AMI Charges Applications Data'!J72</f>
        <v>726212.07420881651</v>
      </c>
      <c r="L49" s="56">
        <f>'AMI Charges Applications Data'!K72</f>
        <v>0</v>
      </c>
      <c r="M49" s="56">
        <f>'AMI Charges Applications Data'!L72</f>
        <v>0</v>
      </c>
      <c r="N49" s="56">
        <f>'AMI Charges Applications Data'!M72</f>
        <v>0</v>
      </c>
      <c r="O49" s="56">
        <f>'AMI Charges Applications Data'!N72</f>
        <v>3701401.8292852906</v>
      </c>
      <c r="P49" s="47"/>
    </row>
    <row r="50" spans="2:16" x14ac:dyDescent="0.25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2:16" x14ac:dyDescent="0.25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2:16" x14ac:dyDescent="0.25">
      <c r="B52" s="47" t="str">
        <f>B45</f>
        <v xml:space="preserve">United Energy </v>
      </c>
      <c r="C52" s="56" t="s">
        <v>13</v>
      </c>
      <c r="D52" s="56" t="s">
        <v>2</v>
      </c>
      <c r="E52" s="56">
        <f>'AMI Charges Applications Data'!D13</f>
        <v>0</v>
      </c>
      <c r="F52" s="56">
        <f>'AMI Charges Applications Data'!E13</f>
        <v>0</v>
      </c>
      <c r="G52" s="56">
        <f>'AMI Charges Applications Data'!F13</f>
        <v>0</v>
      </c>
      <c r="H52" s="56">
        <f>'AMI Charges Applications Data'!G13</f>
        <v>6412353.8598686606</v>
      </c>
      <c r="I52" s="56">
        <f>'AMI Charges Applications Data'!H13</f>
        <v>20654799</v>
      </c>
      <c r="J52" s="56">
        <f>'AMI Charges Applications Data'!I13</f>
        <v>42573902.870000102</v>
      </c>
      <c r="K52" s="56">
        <f>'AMI Charges Applications Data'!J13</f>
        <v>49728099.620000005</v>
      </c>
      <c r="L52" s="56">
        <f>'AMI Charges Applications Data'!K13</f>
        <v>65015722.418191411</v>
      </c>
      <c r="M52" s="56">
        <f>'AMI Charges Applications Data'!L13</f>
        <v>27991044.848035939</v>
      </c>
      <c r="N52" s="56">
        <f>'AMI Charges Applications Data'!M13</f>
        <v>1048735.9071337243</v>
      </c>
      <c r="O52" s="56">
        <f>'AMI Charges Applications Data'!N13</f>
        <v>213424658.52322984</v>
      </c>
    </row>
    <row r="53" spans="2:16" x14ac:dyDescent="0.25">
      <c r="B53" s="47" t="str">
        <f t="shared" ref="B53:B56" si="8">B46</f>
        <v>Powercor</v>
      </c>
      <c r="C53" s="56" t="s">
        <v>13</v>
      </c>
      <c r="D53" s="56" t="s">
        <v>2</v>
      </c>
      <c r="E53" s="56">
        <f>'AMI Charges Applications Data'!D28</f>
        <v>0</v>
      </c>
      <c r="F53" s="56">
        <f>'AMI Charges Applications Data'!E28</f>
        <v>0</v>
      </c>
      <c r="G53" s="56">
        <f>'AMI Charges Applications Data'!F28</f>
        <v>0</v>
      </c>
      <c r="H53" s="56">
        <f>'AMI Charges Applications Data'!G28</f>
        <v>2210814.54</v>
      </c>
      <c r="I53" s="56">
        <f>'AMI Charges Applications Data'!H28</f>
        <v>66062251.949999988</v>
      </c>
      <c r="J53" s="56">
        <f>'AMI Charges Applications Data'!I28</f>
        <v>92857134.000426456</v>
      </c>
      <c r="K53" s="56">
        <f>'AMI Charges Applications Data'!J28</f>
        <v>97462298.309903547</v>
      </c>
      <c r="L53" s="56">
        <f>'AMI Charges Applications Data'!K28</f>
        <v>65804588.892046385</v>
      </c>
      <c r="M53" s="56">
        <f>'AMI Charges Applications Data'!L28</f>
        <v>7386029.1639621379</v>
      </c>
      <c r="N53" s="56">
        <f>'AMI Charges Applications Data'!M28</f>
        <v>7540738.6753428932</v>
      </c>
      <c r="O53" s="56">
        <f>'AMI Charges Applications Data'!N28</f>
        <v>339323855.53168142</v>
      </c>
    </row>
    <row r="54" spans="2:16" x14ac:dyDescent="0.25">
      <c r="B54" s="47" t="str">
        <f t="shared" si="8"/>
        <v>Citipower</v>
      </c>
      <c r="C54" s="56" t="s">
        <v>13</v>
      </c>
      <c r="D54" s="56" t="s">
        <v>2</v>
      </c>
      <c r="E54" s="56">
        <f>'AMI Charges Applications Data'!D43</f>
        <v>0</v>
      </c>
      <c r="F54" s="56">
        <f>'AMI Charges Applications Data'!E43</f>
        <v>0</v>
      </c>
      <c r="G54" s="56">
        <f>'AMI Charges Applications Data'!F43</f>
        <v>0</v>
      </c>
      <c r="H54" s="56">
        <f>'AMI Charges Applications Data'!G43</f>
        <v>1194118.8600000001</v>
      </c>
      <c r="I54" s="56">
        <f>'AMI Charges Applications Data'!H43</f>
        <v>24419109.440000001</v>
      </c>
      <c r="J54" s="56">
        <f>'AMI Charges Applications Data'!I43</f>
        <v>39064217.97794871</v>
      </c>
      <c r="K54" s="56">
        <f>'AMI Charges Applications Data'!J43</f>
        <v>35577543.772276796</v>
      </c>
      <c r="L54" s="56">
        <f>'AMI Charges Applications Data'!K43</f>
        <v>28146647.275340497</v>
      </c>
      <c r="M54" s="56">
        <f>'AMI Charges Applications Data'!L43</f>
        <v>2609275.2740740017</v>
      </c>
      <c r="N54" s="56">
        <f>'AMI Charges Applications Data'!M43</f>
        <v>3184827.9746103082</v>
      </c>
      <c r="O54" s="56">
        <f>'AMI Charges Applications Data'!N43</f>
        <v>134195740.57425031</v>
      </c>
    </row>
    <row r="55" spans="2:16" x14ac:dyDescent="0.25">
      <c r="B55" s="47" t="str">
        <f t="shared" si="8"/>
        <v>SP Ausnet</v>
      </c>
      <c r="C55" s="56" t="s">
        <v>13</v>
      </c>
      <c r="D55" s="56" t="s">
        <v>2</v>
      </c>
      <c r="E55" s="57" t="s">
        <v>17</v>
      </c>
      <c r="F55" s="57" t="s">
        <v>17</v>
      </c>
      <c r="G55" s="57" t="s">
        <v>17</v>
      </c>
      <c r="H55" s="57" t="s">
        <v>17</v>
      </c>
      <c r="I55" s="57" t="s">
        <v>17</v>
      </c>
      <c r="J55" s="57" t="s">
        <v>17</v>
      </c>
      <c r="K55" s="57" t="s">
        <v>17</v>
      </c>
      <c r="L55" s="57" t="s">
        <v>17</v>
      </c>
      <c r="M55" s="57" t="s">
        <v>17</v>
      </c>
      <c r="N55" s="57" t="s">
        <v>17</v>
      </c>
      <c r="O55" s="57" t="s">
        <v>17</v>
      </c>
    </row>
    <row r="56" spans="2:16" x14ac:dyDescent="0.25">
      <c r="B56" s="47" t="str">
        <f t="shared" si="8"/>
        <v>Jemena</v>
      </c>
      <c r="C56" s="56" t="s">
        <v>13</v>
      </c>
      <c r="D56" s="56" t="s">
        <v>2</v>
      </c>
      <c r="E56" s="56">
        <f>'AMI Charges Applications Data'!D73</f>
        <v>0</v>
      </c>
      <c r="F56" s="56">
        <f>'AMI Charges Applications Data'!E73</f>
        <v>0</v>
      </c>
      <c r="G56" s="56">
        <f>'AMI Charges Applications Data'!F73</f>
        <v>0</v>
      </c>
      <c r="H56" s="56">
        <f>'AMI Charges Applications Data'!G73</f>
        <v>4649474.5767002329</v>
      </c>
      <c r="I56" s="56">
        <f>'AMI Charges Applications Data'!H73</f>
        <v>10378052</v>
      </c>
      <c r="J56" s="56">
        <f>'AMI Charges Applications Data'!I73</f>
        <v>18304368.381029479</v>
      </c>
      <c r="K56" s="56">
        <f>'AMI Charges Applications Data'!J73</f>
        <v>23740254.954135478</v>
      </c>
      <c r="L56" s="56">
        <f>'AMI Charges Applications Data'!K73</f>
        <v>36233290.682221986</v>
      </c>
      <c r="M56" s="56">
        <f>'AMI Charges Applications Data'!L73</f>
        <v>4764208.9946446409</v>
      </c>
      <c r="N56" s="56">
        <f>'AMI Charges Applications Data'!M73</f>
        <v>889071.91773764347</v>
      </c>
      <c r="O56" s="56">
        <f>'AMI Charges Applications Data'!N73</f>
        <v>98958721.506469473</v>
      </c>
      <c r="P56" s="47"/>
    </row>
    <row r="57" spans="2:16" x14ac:dyDescent="0.25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2:16" x14ac:dyDescent="0.25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2:16" x14ac:dyDescent="0.25">
      <c r="B59" s="47" t="str">
        <f>B52</f>
        <v xml:space="preserve">United Energy </v>
      </c>
      <c r="C59" s="56" t="s">
        <v>13</v>
      </c>
      <c r="D59" s="56" t="s">
        <v>3</v>
      </c>
      <c r="E59" s="56">
        <f>'AMI Charges Applications Data'!D14</f>
        <v>0</v>
      </c>
      <c r="F59" s="56">
        <f>'AMI Charges Applications Data'!E14</f>
        <v>0</v>
      </c>
      <c r="G59" s="56">
        <f>'AMI Charges Applications Data'!F14</f>
        <v>10137598</v>
      </c>
      <c r="H59" s="56">
        <f>'AMI Charges Applications Data'!G14</f>
        <v>63237884.079999901</v>
      </c>
      <c r="I59" s="56">
        <f>'AMI Charges Applications Data'!H14</f>
        <v>34423246</v>
      </c>
      <c r="J59" s="56">
        <f>'AMI Charges Applications Data'!I14</f>
        <v>8382035.7199999997</v>
      </c>
      <c r="K59" s="56">
        <f>'AMI Charges Applications Data'!J14</f>
        <v>7974074.9500000011</v>
      </c>
      <c r="L59" s="56">
        <f>'AMI Charges Applications Data'!K14</f>
        <v>1491827.9250000003</v>
      </c>
      <c r="M59" s="56">
        <f>'AMI Charges Applications Data'!L14</f>
        <v>6891223.0702046715</v>
      </c>
      <c r="N59" s="56">
        <f>'AMI Charges Applications Data'!M14</f>
        <v>2818159.6288279481</v>
      </c>
      <c r="O59" s="56">
        <f>'AMI Charges Applications Data'!N14</f>
        <v>135356049.37403253</v>
      </c>
    </row>
    <row r="60" spans="2:16" x14ac:dyDescent="0.25">
      <c r="B60" s="47" t="str">
        <f t="shared" ref="B60:B63" si="9">B53</f>
        <v>Powercor</v>
      </c>
      <c r="C60" s="56" t="s">
        <v>13</v>
      </c>
      <c r="D60" s="56" t="s">
        <v>3</v>
      </c>
      <c r="E60" s="56">
        <f>'AMI Charges Applications Data'!D29</f>
        <v>332599.15000000002</v>
      </c>
      <c r="F60" s="56">
        <f>'AMI Charges Applications Data'!E29</f>
        <v>2817702.7430999996</v>
      </c>
      <c r="G60" s="56">
        <f>'AMI Charges Applications Data'!F29</f>
        <v>10813305.572385356</v>
      </c>
      <c r="H60" s="56">
        <f>'AMI Charges Applications Data'!G29</f>
        <v>24047547.66</v>
      </c>
      <c r="I60" s="56">
        <f>'AMI Charges Applications Data'!H29</f>
        <v>21118048.699999999</v>
      </c>
      <c r="J60" s="56">
        <f>'AMI Charges Applications Data'!I29</f>
        <v>11333414.250000002</v>
      </c>
      <c r="K60" s="56">
        <f>'AMI Charges Applications Data'!J29</f>
        <v>9257594.75</v>
      </c>
      <c r="L60" s="56">
        <f>'AMI Charges Applications Data'!K29</f>
        <v>9022086.7167293243</v>
      </c>
      <c r="M60" s="56">
        <f>'AMI Charges Applications Data'!L29</f>
        <v>7290568.4212248595</v>
      </c>
      <c r="N60" s="56">
        <f>'AMI Charges Applications Data'!M29</f>
        <v>5566562.7361371107</v>
      </c>
      <c r="O60" s="56">
        <f>'AMI Charges Applications Data'!N29</f>
        <v>101599430.69957665</v>
      </c>
    </row>
    <row r="61" spans="2:16" x14ac:dyDescent="0.25">
      <c r="B61" s="47" t="str">
        <f t="shared" si="9"/>
        <v>Citipower</v>
      </c>
      <c r="C61" s="56" t="s">
        <v>13</v>
      </c>
      <c r="D61" s="56" t="s">
        <v>3</v>
      </c>
      <c r="E61" s="56">
        <f>'AMI Charges Applications Data'!D44</f>
        <v>332599.15000000002</v>
      </c>
      <c r="F61" s="56">
        <f>'AMI Charges Applications Data'!E44</f>
        <v>1661921.6560751181</v>
      </c>
      <c r="G61" s="56">
        <f>'AMI Charges Applications Data'!F44</f>
        <v>6813649.1338538202</v>
      </c>
      <c r="H61" s="56">
        <f>'AMI Charges Applications Data'!G44</f>
        <v>13010286.379999999</v>
      </c>
      <c r="I61" s="56">
        <f>'AMI Charges Applications Data'!H44</f>
        <v>11888655.5</v>
      </c>
      <c r="J61" s="56">
        <f>'AMI Charges Applications Data'!I44</f>
        <v>6194914.0899999999</v>
      </c>
      <c r="K61" s="56">
        <f>'AMI Charges Applications Data'!J44</f>
        <v>6292021.4800000004</v>
      </c>
      <c r="L61" s="56">
        <f>'AMI Charges Applications Data'!K44</f>
        <v>4513484.7458521761</v>
      </c>
      <c r="M61" s="56">
        <f>'AMI Charges Applications Data'!L44</f>
        <v>3493937.7631834266</v>
      </c>
      <c r="N61" s="56">
        <f>'AMI Charges Applications Data'!M44</f>
        <v>2637488.008761236</v>
      </c>
      <c r="O61" s="56">
        <f>'AMI Charges Applications Data'!N44</f>
        <v>56838957.907725774</v>
      </c>
    </row>
    <row r="62" spans="2:16" x14ac:dyDescent="0.25">
      <c r="B62" s="47" t="str">
        <f t="shared" si="9"/>
        <v>SP Ausnet</v>
      </c>
      <c r="C62" s="56" t="s">
        <v>13</v>
      </c>
      <c r="D62" s="56" t="s">
        <v>3</v>
      </c>
      <c r="E62" s="57">
        <f>'AMI Charges Applications Data'!D59</f>
        <v>0</v>
      </c>
      <c r="F62" s="57">
        <f>'AMI Charges Applications Data'!E59</f>
        <v>3778690.47</v>
      </c>
      <c r="G62" s="57">
        <f>'AMI Charges Applications Data'!F59</f>
        <v>10033258.379999999</v>
      </c>
      <c r="H62" s="57">
        <f>'AMI Charges Applications Data'!G59</f>
        <v>0</v>
      </c>
      <c r="I62" s="57">
        <f>'AMI Charges Applications Data'!H59</f>
        <v>0</v>
      </c>
      <c r="J62" s="57">
        <f>'AMI Charges Applications Data'!I59</f>
        <v>0</v>
      </c>
      <c r="K62" s="57">
        <f>'AMI Charges Applications Data'!J59</f>
        <v>0</v>
      </c>
      <c r="L62" s="57">
        <f>'AMI Charges Applications Data'!K59</f>
        <v>0</v>
      </c>
      <c r="M62" s="57">
        <f>'AMI Charges Applications Data'!L59</f>
        <v>0</v>
      </c>
      <c r="N62" s="57">
        <f>'AMI Charges Applications Data'!M59</f>
        <v>0</v>
      </c>
      <c r="O62" s="57">
        <f>'AMI Charges Applications Data'!N59</f>
        <v>13811948.85</v>
      </c>
    </row>
    <row r="63" spans="2:16" x14ac:dyDescent="0.25">
      <c r="B63" s="47" t="str">
        <f t="shared" si="9"/>
        <v>Jemena</v>
      </c>
      <c r="C63" s="56" t="s">
        <v>13</v>
      </c>
      <c r="D63" s="56" t="s">
        <v>3</v>
      </c>
      <c r="E63" s="56">
        <f>'AMI Charges Applications Data'!D74</f>
        <v>0</v>
      </c>
      <c r="F63" s="56">
        <f>'AMI Charges Applications Data'!E74</f>
        <v>0</v>
      </c>
      <c r="G63" s="56">
        <f>'AMI Charges Applications Data'!F74</f>
        <v>2905326.44</v>
      </c>
      <c r="H63" s="56">
        <f>'AMI Charges Applications Data'!G74</f>
        <v>25683196.395000003</v>
      </c>
      <c r="I63" s="56">
        <f>'AMI Charges Applications Data'!H74</f>
        <v>5083617</v>
      </c>
      <c r="J63" s="56">
        <f>'AMI Charges Applications Data'!I74</f>
        <v>285916.66200000001</v>
      </c>
      <c r="K63" s="56">
        <f>'AMI Charges Applications Data'!J74</f>
        <v>499072.1998</v>
      </c>
      <c r="L63" s="56">
        <f>'AMI Charges Applications Data'!K74</f>
        <v>1115270.5055065695</v>
      </c>
      <c r="M63" s="56">
        <f>'AMI Charges Applications Data'!L74</f>
        <v>4031178.1023308481</v>
      </c>
      <c r="N63" s="56">
        <f>'AMI Charges Applications Data'!M74</f>
        <v>3687175.7465304183</v>
      </c>
      <c r="O63" s="56">
        <f>'AMI Charges Applications Data'!N74</f>
        <v>43290753.051167846</v>
      </c>
      <c r="P63" s="47"/>
    </row>
    <row r="66" spans="2:16" x14ac:dyDescent="0.25">
      <c r="B66" s="47" t="str">
        <f>B59</f>
        <v xml:space="preserve">United Energy </v>
      </c>
      <c r="C66" s="56" t="s">
        <v>13</v>
      </c>
      <c r="D66" s="56" t="s">
        <v>4</v>
      </c>
      <c r="E66" s="56">
        <f>'AMI Charges Applications Data'!D15</f>
        <v>0</v>
      </c>
      <c r="F66" s="56">
        <f>'AMI Charges Applications Data'!E15</f>
        <v>0</v>
      </c>
      <c r="G66" s="56">
        <f>'AMI Charges Applications Data'!F15</f>
        <v>0</v>
      </c>
      <c r="H66" s="56">
        <f>'AMI Charges Applications Data'!G15</f>
        <v>0</v>
      </c>
      <c r="I66" s="56">
        <f>'AMI Charges Applications Data'!H15</f>
        <v>0</v>
      </c>
      <c r="J66" s="56">
        <f>'AMI Charges Applications Data'!I15</f>
        <v>2276045.69</v>
      </c>
      <c r="K66" s="56">
        <f>'AMI Charges Applications Data'!J15</f>
        <v>418838.68000000005</v>
      </c>
      <c r="L66" s="56">
        <f>'AMI Charges Applications Data'!K15</f>
        <v>2057154.6366604585</v>
      </c>
      <c r="M66" s="56">
        <f>'AMI Charges Applications Data'!L15</f>
        <v>499186.88254687388</v>
      </c>
      <c r="N66" s="56">
        <f>'AMI Charges Applications Data'!M15</f>
        <v>497510.35319902468</v>
      </c>
      <c r="O66" s="56">
        <f>'AMI Charges Applications Data'!N15</f>
        <v>5748736.2424063571</v>
      </c>
    </row>
    <row r="67" spans="2:16" x14ac:dyDescent="0.25">
      <c r="B67" s="47" t="str">
        <f t="shared" ref="B67:B70" si="10">B60</f>
        <v>Powercor</v>
      </c>
      <c r="C67" s="56" t="s">
        <v>13</v>
      </c>
      <c r="D67" s="56" t="s">
        <v>4</v>
      </c>
      <c r="E67" s="56">
        <f>'AMI Charges Applications Data'!D30</f>
        <v>0</v>
      </c>
      <c r="F67" s="56">
        <f>'AMI Charges Applications Data'!E30</f>
        <v>0</v>
      </c>
      <c r="G67" s="56">
        <f>'AMI Charges Applications Data'!F30</f>
        <v>352889.07546270383</v>
      </c>
      <c r="H67" s="56">
        <f>'AMI Charges Applications Data'!G30</f>
        <v>945747.1</v>
      </c>
      <c r="I67" s="56">
        <f>'AMI Charges Applications Data'!H30</f>
        <v>3326145.38</v>
      </c>
      <c r="J67" s="56">
        <f>'AMI Charges Applications Data'!I30</f>
        <v>16172606.329999998</v>
      </c>
      <c r="K67" s="56">
        <f>'AMI Charges Applications Data'!J30</f>
        <v>11529042.254151426</v>
      </c>
      <c r="L67" s="56">
        <f>'AMI Charges Applications Data'!K30</f>
        <v>8366816.1912810458</v>
      </c>
      <c r="M67" s="56">
        <f>'AMI Charges Applications Data'!L30</f>
        <v>2356892.3480613944</v>
      </c>
      <c r="N67" s="56">
        <f>'AMI Charges Applications Data'!M30</f>
        <v>1139901.4657820622</v>
      </c>
      <c r="O67" s="56">
        <f>'AMI Charges Applications Data'!N30</f>
        <v>44190040.144738629</v>
      </c>
    </row>
    <row r="68" spans="2:16" x14ac:dyDescent="0.25">
      <c r="B68" s="47" t="str">
        <f t="shared" si="10"/>
        <v>Citipower</v>
      </c>
      <c r="C68" s="56" t="s">
        <v>13</v>
      </c>
      <c r="D68" s="56" t="s">
        <v>4</v>
      </c>
      <c r="E68" s="56">
        <f>'AMI Charges Applications Data'!D45</f>
        <v>0</v>
      </c>
      <c r="F68" s="56">
        <f>'AMI Charges Applications Data'!E45</f>
        <v>0</v>
      </c>
      <c r="G68" s="56">
        <f>'AMI Charges Applications Data'!F45</f>
        <v>167727.85031276822</v>
      </c>
      <c r="H68" s="56">
        <f>'AMI Charges Applications Data'!G45</f>
        <v>496679.74</v>
      </c>
      <c r="I68" s="56">
        <f>'AMI Charges Applications Data'!H45</f>
        <v>1581806.02</v>
      </c>
      <c r="J68" s="56">
        <f>'AMI Charges Applications Data'!I45</f>
        <v>948182.41999999993</v>
      </c>
      <c r="K68" s="56">
        <f>'AMI Charges Applications Data'!J45</f>
        <v>2341229.455105715</v>
      </c>
      <c r="L68" s="56">
        <f>'AMI Charges Applications Data'!K45</f>
        <v>225891.06705936705</v>
      </c>
      <c r="M68" s="56">
        <f>'AMI Charges Applications Data'!L45</f>
        <v>135548.46811781568</v>
      </c>
      <c r="N68" s="56">
        <f>'AMI Charges Applications Data'!M45</f>
        <v>94118.361811384442</v>
      </c>
      <c r="O68" s="56">
        <f>'AMI Charges Applications Data'!N45</f>
        <v>5991183.3824070506</v>
      </c>
    </row>
    <row r="69" spans="2:16" x14ac:dyDescent="0.25">
      <c r="B69" s="47" t="str">
        <f t="shared" si="10"/>
        <v>SP Ausnet</v>
      </c>
      <c r="C69" s="56" t="s">
        <v>13</v>
      </c>
      <c r="D69" s="56" t="s">
        <v>4</v>
      </c>
      <c r="E69" s="57" t="s">
        <v>17</v>
      </c>
      <c r="F69" s="57" t="s">
        <v>17</v>
      </c>
      <c r="G69" s="57" t="s">
        <v>17</v>
      </c>
      <c r="H69" s="57" t="s">
        <v>17</v>
      </c>
      <c r="I69" s="57" t="s">
        <v>17</v>
      </c>
      <c r="J69" s="57" t="s">
        <v>17</v>
      </c>
      <c r="K69" s="57" t="s">
        <v>17</v>
      </c>
      <c r="L69" s="57" t="s">
        <v>17</v>
      </c>
      <c r="M69" s="57" t="s">
        <v>17</v>
      </c>
      <c r="N69" s="57" t="s">
        <v>17</v>
      </c>
      <c r="O69" s="57" t="s">
        <v>17</v>
      </c>
    </row>
    <row r="70" spans="2:16" x14ac:dyDescent="0.25">
      <c r="B70" s="47" t="str">
        <f t="shared" si="10"/>
        <v>Jemena</v>
      </c>
      <c r="C70" s="56" t="s">
        <v>13</v>
      </c>
      <c r="D70" s="56" t="s">
        <v>4</v>
      </c>
      <c r="E70" s="56">
        <f>'AMI Charges Applications Data'!D75</f>
        <v>0</v>
      </c>
      <c r="F70" s="56">
        <f>'AMI Charges Applications Data'!E75</f>
        <v>0</v>
      </c>
      <c r="G70" s="56">
        <f>'AMI Charges Applications Data'!F75</f>
        <v>0</v>
      </c>
      <c r="H70" s="56">
        <f>'AMI Charges Applications Data'!G75</f>
        <v>135135.01257138891</v>
      </c>
      <c r="I70" s="56">
        <f>'AMI Charges Applications Data'!H75</f>
        <v>346256</v>
      </c>
      <c r="J70" s="56">
        <f>'AMI Charges Applications Data'!I75</f>
        <v>1190171.4880017799</v>
      </c>
      <c r="K70" s="56">
        <f>'AMI Charges Applications Data'!J75</f>
        <v>1703483.5940852438</v>
      </c>
      <c r="L70" s="56">
        <f>'AMI Charges Applications Data'!K75</f>
        <v>3772971.7264100933</v>
      </c>
      <c r="M70" s="56">
        <f>'AMI Charges Applications Data'!L75</f>
        <v>1140296.3844456989</v>
      </c>
      <c r="N70" s="56">
        <f>'AMI Charges Applications Data'!M75</f>
        <v>490249.01082534628</v>
      </c>
      <c r="O70" s="56">
        <f>'AMI Charges Applications Data'!N75</f>
        <v>8778563.2163395509</v>
      </c>
      <c r="P70" s="47"/>
    </row>
    <row r="73" spans="2:16" x14ac:dyDescent="0.25">
      <c r="B73" s="47" t="str">
        <f>B66</f>
        <v xml:space="preserve">United Energy </v>
      </c>
      <c r="C73" s="56" t="s">
        <v>13</v>
      </c>
      <c r="D73" s="56" t="s">
        <v>5</v>
      </c>
      <c r="E73" s="56">
        <f>'AMI Charges Applications Data'!D16</f>
        <v>0</v>
      </c>
      <c r="F73" s="56">
        <f>'AMI Charges Applications Data'!E16</f>
        <v>6037000</v>
      </c>
      <c r="G73" s="56">
        <f>'AMI Charges Applications Data'!F16</f>
        <v>17425658</v>
      </c>
      <c r="H73" s="56">
        <f>'AMI Charges Applications Data'!G16</f>
        <v>100958.88</v>
      </c>
      <c r="I73" s="56">
        <f>'AMI Charges Applications Data'!H16</f>
        <v>367167</v>
      </c>
      <c r="J73" s="56">
        <f>'AMI Charges Applications Data'!I16</f>
        <v>10550230.790000001</v>
      </c>
      <c r="K73" s="56">
        <f>'AMI Charges Applications Data'!J16</f>
        <v>2706937.7899999996</v>
      </c>
      <c r="L73" s="56">
        <f>'AMI Charges Applications Data'!K16</f>
        <v>9946261.1282666661</v>
      </c>
      <c r="M73" s="56">
        <f>'AMI Charges Applications Data'!L16</f>
        <v>4659154.5471228724</v>
      </c>
      <c r="N73" s="56">
        <f>'AMI Charges Applications Data'!M16</f>
        <v>0</v>
      </c>
      <c r="O73" s="56">
        <f>'AMI Charges Applications Data'!N16</f>
        <v>51793368.135389544</v>
      </c>
    </row>
    <row r="74" spans="2:16" x14ac:dyDescent="0.25">
      <c r="B74" s="47" t="str">
        <f t="shared" ref="B74:B77" si="11">B67</f>
        <v>Powercor</v>
      </c>
      <c r="C74" s="56" t="s">
        <v>13</v>
      </c>
      <c r="D74" s="56" t="s">
        <v>5</v>
      </c>
      <c r="E74" s="56">
        <f>'AMI Charges Applications Data'!D31</f>
        <v>0</v>
      </c>
      <c r="F74" s="56">
        <f>'AMI Charges Applications Data'!E31</f>
        <v>73834.561198694442</v>
      </c>
      <c r="G74" s="56">
        <f>'AMI Charges Applications Data'!F31</f>
        <v>188267.84</v>
      </c>
      <c r="H74" s="56">
        <f>'AMI Charges Applications Data'!G31</f>
        <v>527728.94999999995</v>
      </c>
      <c r="I74" s="56">
        <f>'AMI Charges Applications Data'!H31</f>
        <v>627653.81999999995</v>
      </c>
      <c r="J74" s="56">
        <f>'AMI Charges Applications Data'!I31</f>
        <v>349105.82</v>
      </c>
      <c r="K74" s="56">
        <f>'AMI Charges Applications Data'!J31</f>
        <v>174723.79</v>
      </c>
      <c r="L74" s="56">
        <f>'AMI Charges Applications Data'!K31</f>
        <v>123220.28133821014</v>
      </c>
      <c r="M74" s="56">
        <f>'AMI Charges Applications Data'!L31</f>
        <v>126263.82228726393</v>
      </c>
      <c r="N74" s="56">
        <f>'AMI Charges Applications Data'!M31</f>
        <v>139487.70835541695</v>
      </c>
      <c r="O74" s="56">
        <f>'AMI Charges Applications Data'!N31</f>
        <v>2330286.5931795859</v>
      </c>
    </row>
    <row r="75" spans="2:16" x14ac:dyDescent="0.25">
      <c r="B75" s="47" t="str">
        <f t="shared" si="11"/>
        <v>Citipower</v>
      </c>
      <c r="C75" s="56" t="s">
        <v>13</v>
      </c>
      <c r="D75" s="56" t="s">
        <v>5</v>
      </c>
      <c r="E75" s="56">
        <f>'AMI Charges Applications Data'!D46</f>
        <v>0</v>
      </c>
      <c r="F75" s="56">
        <f>'AMI Charges Applications Data'!E46</f>
        <v>0</v>
      </c>
      <c r="G75" s="56">
        <f>'AMI Charges Applications Data'!F46</f>
        <v>0</v>
      </c>
      <c r="H75" s="56">
        <f>'AMI Charges Applications Data'!G46</f>
        <v>0</v>
      </c>
      <c r="I75" s="56">
        <f>'AMI Charges Applications Data'!H46</f>
        <v>0</v>
      </c>
      <c r="J75" s="56">
        <f>'AMI Charges Applications Data'!I46</f>
        <v>90958.91</v>
      </c>
      <c r="K75" s="56">
        <f>'AMI Charges Applications Data'!J46</f>
        <v>0</v>
      </c>
      <c r="L75" s="56">
        <f>'AMI Charges Applications Data'!K46</f>
        <v>0</v>
      </c>
      <c r="M75" s="56">
        <f>'AMI Charges Applications Data'!L46</f>
        <v>0</v>
      </c>
      <c r="N75" s="56">
        <f>'AMI Charges Applications Data'!M46</f>
        <v>0</v>
      </c>
      <c r="O75" s="56">
        <f>'AMI Charges Applications Data'!N46</f>
        <v>90958.91</v>
      </c>
    </row>
    <row r="76" spans="2:16" x14ac:dyDescent="0.25">
      <c r="B76" s="47" t="str">
        <f t="shared" si="11"/>
        <v>SP Ausnet</v>
      </c>
      <c r="C76" s="56" t="s">
        <v>13</v>
      </c>
      <c r="D76" s="56" t="s">
        <v>5</v>
      </c>
      <c r="E76" s="57" t="s">
        <v>17</v>
      </c>
      <c r="F76" s="57" t="s">
        <v>17</v>
      </c>
      <c r="G76" s="57" t="s">
        <v>17</v>
      </c>
      <c r="H76" s="57" t="s">
        <v>17</v>
      </c>
      <c r="I76" s="57" t="s">
        <v>17</v>
      </c>
      <c r="J76" s="57" t="s">
        <v>17</v>
      </c>
      <c r="K76" s="57" t="s">
        <v>17</v>
      </c>
      <c r="L76" s="57" t="s">
        <v>17</v>
      </c>
      <c r="M76" s="57" t="s">
        <v>17</v>
      </c>
      <c r="N76" s="57" t="s">
        <v>17</v>
      </c>
      <c r="O76" s="57" t="s">
        <v>17</v>
      </c>
    </row>
    <row r="77" spans="2:16" x14ac:dyDescent="0.25">
      <c r="B77" s="47" t="str">
        <f t="shared" si="11"/>
        <v>Jemena</v>
      </c>
      <c r="C77" s="56" t="s">
        <v>13</v>
      </c>
      <c r="D77" s="56" t="s">
        <v>5</v>
      </c>
      <c r="E77" s="56">
        <f>'AMI Charges Applications Data'!D76</f>
        <v>0</v>
      </c>
      <c r="F77" s="56">
        <f>'AMI Charges Applications Data'!E76</f>
        <v>1051789</v>
      </c>
      <c r="G77" s="56">
        <f>'AMI Charges Applications Data'!F76</f>
        <v>12918736.560000001</v>
      </c>
      <c r="H77" s="56">
        <f>'AMI Charges Applications Data'!G76</f>
        <v>30147880.21572838</v>
      </c>
      <c r="I77" s="56">
        <f>'AMI Charges Applications Data'!H76</f>
        <v>20836177</v>
      </c>
      <c r="J77" s="56">
        <f>'AMI Charges Applications Data'!I76</f>
        <v>6750617</v>
      </c>
      <c r="K77" s="56">
        <f>'AMI Charges Applications Data'!J76</f>
        <v>2752519.5332875773</v>
      </c>
      <c r="L77" s="56">
        <f>'AMI Charges Applications Data'!K76</f>
        <v>-764837.9640153466</v>
      </c>
      <c r="M77" s="56">
        <f>'AMI Charges Applications Data'!L76</f>
        <v>0</v>
      </c>
      <c r="N77" s="56">
        <f>'AMI Charges Applications Data'!M76</f>
        <v>0</v>
      </c>
      <c r="O77" s="56">
        <f>'AMI Charges Applications Data'!N76</f>
        <v>73692881.34500061</v>
      </c>
      <c r="P77" s="47"/>
    </row>
    <row r="78" spans="2:16" x14ac:dyDescent="0.25">
      <c r="P78" s="47"/>
    </row>
    <row r="80" spans="2:16" x14ac:dyDescent="0.25">
      <c r="B80" s="47" t="str">
        <f>B73</f>
        <v xml:space="preserve">United Energy </v>
      </c>
      <c r="C80" s="56" t="s">
        <v>13</v>
      </c>
      <c r="D80" s="56" t="s">
        <v>6</v>
      </c>
      <c r="E80" s="56">
        <f>'AMI Charges Applications Data'!D17</f>
        <v>0</v>
      </c>
      <c r="F80" s="56">
        <f>'AMI Charges Applications Data'!E17</f>
        <v>6037000</v>
      </c>
      <c r="G80" s="56">
        <f>'AMI Charges Applications Data'!F17</f>
        <v>27563256</v>
      </c>
      <c r="H80" s="56">
        <f>'AMI Charges Applications Data'!G17</f>
        <v>73620749.349868566</v>
      </c>
      <c r="I80" s="56">
        <f>'AMI Charges Applications Data'!H17</f>
        <v>59033656</v>
      </c>
      <c r="J80" s="56">
        <f>'AMI Charges Applications Data'!I17</f>
        <v>69565631.440000102</v>
      </c>
      <c r="K80" s="56">
        <f>'AMI Charges Applications Data'!J17</f>
        <v>62951354.020000011</v>
      </c>
      <c r="L80" s="56">
        <f>'AMI Charges Applications Data'!K17</f>
        <v>78510966.108118519</v>
      </c>
      <c r="M80" s="56">
        <f>'AMI Charges Applications Data'!L17</f>
        <v>40040609.347910352</v>
      </c>
      <c r="N80" s="56">
        <f>'AMI Charges Applications Data'!M17</f>
        <v>4364405.8891606973</v>
      </c>
      <c r="O80" s="56">
        <f>'AMI Charges Applications Data'!N17</f>
        <v>421687628.15505826</v>
      </c>
    </row>
    <row r="81" spans="2:17" x14ac:dyDescent="0.25">
      <c r="B81" s="47" t="str">
        <f t="shared" ref="B81:B84" si="12">B74</f>
        <v>Powercor</v>
      </c>
      <c r="C81" s="56" t="s">
        <v>13</v>
      </c>
      <c r="D81" s="56" t="s">
        <v>6</v>
      </c>
      <c r="E81" s="56">
        <f>'AMI Charges Applications Data'!D32</f>
        <v>332599.15000000002</v>
      </c>
      <c r="F81" s="56">
        <f>'AMI Charges Applications Data'!E32</f>
        <v>2891537.3042986942</v>
      </c>
      <c r="G81" s="56">
        <f>'AMI Charges Applications Data'!F32</f>
        <v>11354462.48784806</v>
      </c>
      <c r="H81" s="56">
        <f>'AMI Charges Applications Data'!G32</f>
        <v>36413349.596121036</v>
      </c>
      <c r="I81" s="56">
        <f>'AMI Charges Applications Data'!H32</f>
        <v>99853381.933008626</v>
      </c>
      <c r="J81" s="56">
        <f>'AMI Charges Applications Data'!I32</f>
        <v>123057282.99042645</v>
      </c>
      <c r="K81" s="56">
        <f>'AMI Charges Applications Data'!J32</f>
        <v>119533058.81405498</v>
      </c>
      <c r="L81" s="56">
        <f>'AMI Charges Applications Data'!K32</f>
        <v>83406097.878343567</v>
      </c>
      <c r="M81" s="56">
        <f>'AMI Charges Applications Data'!L32</f>
        <v>17159753.755535655</v>
      </c>
      <c r="N81" s="56">
        <f>'AMI Charges Applications Data'!M32</f>
        <v>14386690.585617485</v>
      </c>
      <c r="O81" s="56">
        <f>'AMI Charges Applications Data'!N32</f>
        <v>508388214.49525452</v>
      </c>
    </row>
    <row r="82" spans="2:17" x14ac:dyDescent="0.25">
      <c r="B82" s="47" t="str">
        <f t="shared" si="12"/>
        <v>Citipower</v>
      </c>
      <c r="C82" s="56" t="s">
        <v>13</v>
      </c>
      <c r="D82" s="56" t="s">
        <v>6</v>
      </c>
      <c r="E82" s="56">
        <f>'AMI Charges Applications Data'!D47</f>
        <v>332599.15000000002</v>
      </c>
      <c r="F82" s="56">
        <f>'AMI Charges Applications Data'!E47</f>
        <v>1661921.6560751181</v>
      </c>
      <c r="G82" s="56">
        <f>'AMI Charges Applications Data'!F47</f>
        <v>6981376.9841665886</v>
      </c>
      <c r="H82" s="56">
        <f>'AMI Charges Applications Data'!G47</f>
        <v>16788543.22730051</v>
      </c>
      <c r="I82" s="56">
        <f>'AMI Charges Applications Data'!H47</f>
        <v>40325976.34507408</v>
      </c>
      <c r="J82" s="56">
        <f>'AMI Charges Applications Data'!I47</f>
        <v>46686414.857948706</v>
      </c>
      <c r="K82" s="56">
        <f>'AMI Charges Applications Data'!J47</f>
        <v>44285338.647382513</v>
      </c>
      <c r="L82" s="56">
        <f>'AMI Charges Applications Data'!K47</f>
        <v>32896059.713309113</v>
      </c>
      <c r="M82" s="56">
        <f>'AMI Charges Applications Data'!L47</f>
        <v>6238761.5053752437</v>
      </c>
      <c r="N82" s="56">
        <f>'AMI Charges Applications Data'!M47</f>
        <v>5916434.3451829301</v>
      </c>
      <c r="O82" s="56">
        <f>'AMI Charges Applications Data'!N47</f>
        <v>202113426.43181479</v>
      </c>
    </row>
    <row r="83" spans="2:17" x14ac:dyDescent="0.25">
      <c r="B83" s="47" t="str">
        <f t="shared" si="12"/>
        <v>SP Ausnet</v>
      </c>
      <c r="C83" s="56" t="s">
        <v>13</v>
      </c>
      <c r="D83" s="56" t="s">
        <v>6</v>
      </c>
      <c r="E83" s="56">
        <f>'AMI Charges Applications Data'!D62</f>
        <v>0</v>
      </c>
      <c r="F83" s="56">
        <f>'AMI Charges Applications Data'!E62</f>
        <v>3778690.47</v>
      </c>
      <c r="G83" s="56">
        <f>'AMI Charges Applications Data'!F62</f>
        <v>10033258.379999999</v>
      </c>
      <c r="H83" s="56">
        <f>'AMI Charges Applications Data'!G62</f>
        <v>38593720.435499437</v>
      </c>
      <c r="I83" s="56">
        <f>'AMI Charges Applications Data'!H62</f>
        <v>88848084.033738032</v>
      </c>
      <c r="J83" s="56">
        <f>'AMI Charges Applications Data'!I62</f>
        <v>112694436.1680361</v>
      </c>
      <c r="K83" s="56">
        <f>'AMI Charges Applications Data'!J62</f>
        <v>140838402.08090585</v>
      </c>
      <c r="L83" s="56">
        <f>'AMI Charges Applications Data'!K62</f>
        <v>132934539.73226716</v>
      </c>
      <c r="M83" s="56">
        <f>'AMI Charges Applications Data'!L62</f>
        <v>17558710.16059294</v>
      </c>
      <c r="N83" s="56">
        <f>'AMI Charges Applications Data'!M62</f>
        <v>18935923.941072214</v>
      </c>
      <c r="O83" s="56">
        <f>'AMI Charges Applications Data'!N62</f>
        <v>564215765.40211177</v>
      </c>
    </row>
    <row r="84" spans="2:17" x14ac:dyDescent="0.25">
      <c r="B84" s="47" t="str">
        <f t="shared" si="12"/>
        <v>Jemena</v>
      </c>
      <c r="C84" s="56" t="s">
        <v>13</v>
      </c>
      <c r="D84" s="56" t="s">
        <v>6</v>
      </c>
      <c r="E84" s="56">
        <f>'AMI Charges Applications Data'!D77</f>
        <v>0</v>
      </c>
      <c r="F84" s="56">
        <f>'AMI Charges Applications Data'!E77</f>
        <v>1051789</v>
      </c>
      <c r="G84" s="56">
        <f>'AMI Charges Applications Data'!F77</f>
        <v>15824063</v>
      </c>
      <c r="H84" s="56">
        <f>'AMI Charges Applications Data'!G77</f>
        <v>64435549.380000003</v>
      </c>
      <c r="I84" s="56">
        <f>'AMI Charges Applications Data'!H77</f>
        <v>39645685</v>
      </c>
      <c r="J84" s="56">
        <f>'AMI Charges Applications Data'!I77</f>
        <v>29062665.933934443</v>
      </c>
      <c r="K84" s="56">
        <f>'AMI Charges Applications Data'!J77</f>
        <v>29495614.459826536</v>
      </c>
      <c r="L84" s="56">
        <f>'AMI Charges Applications Data'!K77</f>
        <v>40403514.789802663</v>
      </c>
      <c r="M84" s="56">
        <f>'AMI Charges Applications Data'!L77</f>
        <v>9935683.4814211894</v>
      </c>
      <c r="N84" s="56">
        <f>'AMI Charges Applications Data'!M77</f>
        <v>5066496.6750934087</v>
      </c>
      <c r="O84" s="56">
        <f>'AMI Charges Applications Data'!N77</f>
        <v>234921061.72007826</v>
      </c>
      <c r="P84" s="47"/>
      <c r="Q84" s="47"/>
    </row>
    <row r="85" spans="2:17" x14ac:dyDescent="0.25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47"/>
      <c r="Q85" s="47"/>
    </row>
    <row r="86" spans="2:17" x14ac:dyDescent="0.25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</row>
    <row r="87" spans="2:17" x14ac:dyDescent="0.25">
      <c r="B87" s="47" t="str">
        <f>B80</f>
        <v xml:space="preserve">United Energy </v>
      </c>
      <c r="C87" s="56" t="s">
        <v>14</v>
      </c>
      <c r="D87" s="56" t="s">
        <v>14</v>
      </c>
      <c r="E87" s="56">
        <f>'AMI Charges Applications Data'!D19</f>
        <v>0</v>
      </c>
      <c r="F87" s="56">
        <f>'AMI Charges Applications Data'!E19</f>
        <v>990000</v>
      </c>
      <c r="G87" s="56">
        <f>'AMI Charges Applications Data'!F19</f>
        <v>1010000</v>
      </c>
      <c r="H87" s="56">
        <f>'AMI Charges Applications Data'!G19</f>
        <v>14023247.5320845</v>
      </c>
      <c r="I87" s="56">
        <f>'AMI Charges Applications Data'!H19</f>
        <v>16011951</v>
      </c>
      <c r="J87" s="56">
        <f>'AMI Charges Applications Data'!I19</f>
        <v>27357162.129999992</v>
      </c>
      <c r="K87" s="56">
        <f>'AMI Charges Applications Data'!J19</f>
        <v>32795108.285409834</v>
      </c>
      <c r="L87" s="56">
        <f>'AMI Charges Applications Data'!K19</f>
        <v>29620145.043780301</v>
      </c>
      <c r="M87" s="56">
        <f>'AMI Charges Applications Data'!L19</f>
        <v>27232963.690864716</v>
      </c>
      <c r="N87" s="56">
        <f>'AMI Charges Applications Data'!M19</f>
        <v>28200765.486839544</v>
      </c>
      <c r="O87" s="56">
        <f>'AMI Charges Applications Data'!N19</f>
        <v>177241343.16897887</v>
      </c>
    </row>
    <row r="88" spans="2:17" x14ac:dyDescent="0.25">
      <c r="B88" s="47" t="str">
        <f t="shared" ref="B88:B91" si="13">B81</f>
        <v>Powercor</v>
      </c>
      <c r="C88" s="56" t="s">
        <v>14</v>
      </c>
      <c r="D88" s="56" t="s">
        <v>14</v>
      </c>
      <c r="E88" s="56">
        <f>'AMI Charges Applications Data'!D34</f>
        <v>1528664.3097925447</v>
      </c>
      <c r="F88" s="56">
        <f>'AMI Charges Applications Data'!E34</f>
        <v>5857710.0682765488</v>
      </c>
      <c r="G88" s="56">
        <f>'AMI Charges Applications Data'!F34</f>
        <v>9571029.1244312823</v>
      </c>
      <c r="H88" s="56">
        <f>'AMI Charges Applications Data'!G34</f>
        <v>24814068.844235312</v>
      </c>
      <c r="I88" s="56">
        <f>'AMI Charges Applications Data'!H34</f>
        <v>19953460.2551184</v>
      </c>
      <c r="J88" s="56">
        <f>'AMI Charges Applications Data'!I34</f>
        <v>26822517.64150586</v>
      </c>
      <c r="K88" s="56">
        <f>'AMI Charges Applications Data'!J34</f>
        <v>22519258.547136702</v>
      </c>
      <c r="L88" s="56">
        <f>'AMI Charges Applications Data'!K34</f>
        <v>24331213.754284441</v>
      </c>
      <c r="M88" s="56">
        <f>'AMI Charges Applications Data'!L34</f>
        <v>23664479.065583806</v>
      </c>
      <c r="N88" s="56">
        <f>'AMI Charges Applications Data'!M34</f>
        <v>23940462.34061012</v>
      </c>
      <c r="O88" s="56">
        <f>'AMI Charges Applications Data'!N34</f>
        <v>183002863.950975</v>
      </c>
    </row>
    <row r="89" spans="2:17" x14ac:dyDescent="0.25">
      <c r="B89" s="47" t="str">
        <f t="shared" si="13"/>
        <v>Citipower</v>
      </c>
      <c r="C89" s="56" t="s">
        <v>14</v>
      </c>
      <c r="D89" s="56" t="s">
        <v>14</v>
      </c>
      <c r="E89" s="56">
        <f>'AMI Charges Applications Data'!D49</f>
        <v>490154.30347736203</v>
      </c>
      <c r="F89" s="56">
        <f>'AMI Charges Applications Data'!E49</f>
        <v>3375498.7300711046</v>
      </c>
      <c r="G89" s="56">
        <f>'AMI Charges Applications Data'!F49</f>
        <v>4429652.4868221348</v>
      </c>
      <c r="H89" s="56">
        <f>'AMI Charges Applications Data'!G49</f>
        <v>12186311.267134894</v>
      </c>
      <c r="I89" s="56">
        <f>'AMI Charges Applications Data'!H49</f>
        <v>10053825.672141695</v>
      </c>
      <c r="J89" s="56">
        <f>'AMI Charges Applications Data'!I49</f>
        <v>13888721.791800356</v>
      </c>
      <c r="K89" s="56">
        <f>'AMI Charges Applications Data'!J49</f>
        <v>11690996.374198472</v>
      </c>
      <c r="L89" s="56">
        <f>'AMI Charges Applications Data'!K49</f>
        <v>9882575.3873525523</v>
      </c>
      <c r="M89" s="56">
        <f>'AMI Charges Applications Data'!L49</f>
        <v>9793390.1851693261</v>
      </c>
      <c r="N89" s="56">
        <f>'AMI Charges Applications Data'!M49</f>
        <v>9726644.7991451435</v>
      </c>
      <c r="O89" s="56">
        <f>'AMI Charges Applications Data'!N49</f>
        <v>85517770.997313052</v>
      </c>
    </row>
    <row r="90" spans="2:17" x14ac:dyDescent="0.25">
      <c r="B90" s="47" t="str">
        <f t="shared" si="13"/>
        <v>SP Ausnet</v>
      </c>
      <c r="C90" s="56" t="s">
        <v>14</v>
      </c>
      <c r="D90" s="56" t="s">
        <v>14</v>
      </c>
      <c r="E90" s="56">
        <f>'AMI Charges Applications Data'!D64</f>
        <v>1027698.05</v>
      </c>
      <c r="F90" s="56">
        <f>'AMI Charges Applications Data'!E64</f>
        <v>3360278.7199999997</v>
      </c>
      <c r="G90" s="56">
        <f>'AMI Charges Applications Data'!F64</f>
        <v>8008236.8345795637</v>
      </c>
      <c r="H90" s="56">
        <f>'AMI Charges Applications Data'!G64</f>
        <v>27133020.450744912</v>
      </c>
      <c r="I90" s="56">
        <f>'AMI Charges Applications Data'!H64</f>
        <v>39809474.16262313</v>
      </c>
      <c r="J90" s="56">
        <f>'AMI Charges Applications Data'!I64</f>
        <v>42811168.404355973</v>
      </c>
      <c r="K90" s="56">
        <f>'AMI Charges Applications Data'!J64</f>
        <v>40190981.149277501</v>
      </c>
      <c r="L90" s="56">
        <f>'AMI Charges Applications Data'!K64</f>
        <v>39489353.750032745</v>
      </c>
      <c r="M90" s="56">
        <f>'AMI Charges Applications Data'!L64</f>
        <v>31531663.964577544</v>
      </c>
      <c r="N90" s="56">
        <f>'AMI Charges Applications Data'!M64</f>
        <v>29861928.834668159</v>
      </c>
      <c r="O90" s="56">
        <f>'AMI Charges Applications Data'!N64</f>
        <v>263223804.32085955</v>
      </c>
    </row>
    <row r="91" spans="2:17" x14ac:dyDescent="0.25">
      <c r="B91" s="47" t="str">
        <f t="shared" si="13"/>
        <v>Jemena</v>
      </c>
      <c r="C91" s="56" t="s">
        <v>14</v>
      </c>
      <c r="D91" s="56" t="s">
        <v>14</v>
      </c>
      <c r="E91" s="56">
        <f>'AMI Charges Applications Data'!D79</f>
        <v>0</v>
      </c>
      <c r="F91" s="56">
        <f>'AMI Charges Applications Data'!E79</f>
        <v>0</v>
      </c>
      <c r="G91" s="56">
        <f>'AMI Charges Applications Data'!F79</f>
        <v>0</v>
      </c>
      <c r="H91" s="56">
        <f>'AMI Charges Applications Data'!G79</f>
        <v>8437513.7038626671</v>
      </c>
      <c r="I91" s="56">
        <f>'AMI Charges Applications Data'!H79</f>
        <v>10167825</v>
      </c>
      <c r="J91" s="56">
        <f>'AMI Charges Applications Data'!I79</f>
        <v>16811908.977192648</v>
      </c>
      <c r="K91" s="56">
        <f>'AMI Charges Applications Data'!J79</f>
        <v>20060926.000000007</v>
      </c>
      <c r="L91" s="56">
        <f>'AMI Charges Applications Data'!K79</f>
        <v>20139122.988656208</v>
      </c>
      <c r="M91" s="56">
        <f>'AMI Charges Applications Data'!L79</f>
        <v>18527032.649028964</v>
      </c>
      <c r="N91" s="56">
        <f>'AMI Charges Applications Data'!M79</f>
        <v>17256202.381128147</v>
      </c>
      <c r="O91" s="56">
        <f>'AMI Charges Applications Data'!N79</f>
        <v>111400531.69986863</v>
      </c>
      <c r="P91" s="47"/>
    </row>
    <row r="92" spans="2:17" x14ac:dyDescent="0.25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</row>
    <row r="93" spans="2:17" x14ac:dyDescent="0.25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2:17" x14ac:dyDescent="0.25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2:17" x14ac:dyDescent="0.25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</row>
    <row r="96" spans="2:17" x14ac:dyDescent="0.25"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</row>
    <row r="97" spans="2:15" x14ac:dyDescent="0.25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</row>
    <row r="98" spans="2:15" x14ac:dyDescent="0.25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</row>
    <row r="99" spans="2:15" x14ac:dyDescent="0.25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</row>
    <row r="100" spans="2:15" x14ac:dyDescent="0.25"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</row>
    <row r="101" spans="2:15" x14ac:dyDescent="0.25"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</row>
    <row r="102" spans="2:15" x14ac:dyDescent="0.25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</row>
    <row r="103" spans="2:15" x14ac:dyDescent="0.25"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</row>
    <row r="104" spans="2:15" x14ac:dyDescent="0.25"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</row>
    <row r="105" spans="2:15" x14ac:dyDescent="0.25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</row>
    <row r="106" spans="2:15" x14ac:dyDescent="0.25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</row>
    <row r="107" spans="2:15" x14ac:dyDescent="0.25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</row>
  </sheetData>
  <mergeCells count="11">
    <mergeCell ref="L16:M16"/>
    <mergeCell ref="D7:D8"/>
    <mergeCell ref="D16:D17"/>
    <mergeCell ref="E16:E17"/>
    <mergeCell ref="F16:G16"/>
    <mergeCell ref="H16:I16"/>
    <mergeCell ref="J16:K16"/>
    <mergeCell ref="F7:G7"/>
    <mergeCell ref="H7:I7"/>
    <mergeCell ref="J7:K7"/>
    <mergeCell ref="E7:E8"/>
  </mergeCells>
  <pageMargins left="0.7" right="0.7" top="0.75" bottom="0.75" header="0.3" footer="0.3"/>
  <pageSetup paperSize="9"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N115"/>
  <sheetViews>
    <sheetView zoomScale="85" zoomScaleNormal="85" workbookViewId="0">
      <selection activeCell="C34" sqref="C34"/>
    </sheetView>
  </sheetViews>
  <sheetFormatPr defaultRowHeight="15" x14ac:dyDescent="0.25"/>
  <cols>
    <col min="1" max="1" width="9.140625" style="112"/>
    <col min="2" max="2" width="60.7109375" style="112" bestFit="1" customWidth="1"/>
    <col min="3" max="11" width="17.7109375" style="112" customWidth="1"/>
    <col min="12" max="12" width="9.140625" style="112"/>
    <col min="13" max="13" width="15.28515625" style="112" bestFit="1" customWidth="1"/>
    <col min="14" max="16384" width="9.140625" style="112"/>
  </cols>
  <sheetData>
    <row r="2" spans="2:9" x14ac:dyDescent="0.25">
      <c r="B2" s="119" t="s">
        <v>78</v>
      </c>
    </row>
    <row r="4" spans="2:9" x14ac:dyDescent="0.25">
      <c r="B4" s="119" t="s">
        <v>115</v>
      </c>
    </row>
    <row r="6" spans="2:9" x14ac:dyDescent="0.25">
      <c r="B6" s="70" t="s">
        <v>73</v>
      </c>
      <c r="C6" s="109"/>
      <c r="D6" s="110"/>
      <c r="E6" s="110"/>
      <c r="F6" s="110"/>
      <c r="G6" s="110"/>
      <c r="H6" s="110"/>
      <c r="I6" s="111"/>
    </row>
    <row r="7" spans="2:9" ht="15" customHeight="1" x14ac:dyDescent="0.25">
      <c r="B7" s="185" t="s">
        <v>21</v>
      </c>
      <c r="C7" s="197" t="s">
        <v>74</v>
      </c>
      <c r="D7" s="190" t="s">
        <v>28</v>
      </c>
      <c r="E7" s="191"/>
      <c r="F7" s="190" t="s">
        <v>24</v>
      </c>
      <c r="G7" s="191"/>
      <c r="H7" s="192" t="s">
        <v>25</v>
      </c>
      <c r="I7" s="191"/>
    </row>
    <row r="8" spans="2:9" ht="33" customHeight="1" x14ac:dyDescent="0.25">
      <c r="B8" s="196"/>
      <c r="C8" s="198"/>
      <c r="D8" s="82" t="s">
        <v>121</v>
      </c>
      <c r="E8" s="75" t="s">
        <v>23</v>
      </c>
      <c r="F8" s="82" t="s">
        <v>121</v>
      </c>
      <c r="G8" s="76" t="s">
        <v>23</v>
      </c>
      <c r="H8" s="82" t="s">
        <v>121</v>
      </c>
      <c r="I8" s="75" t="s">
        <v>23</v>
      </c>
    </row>
    <row r="9" spans="2:9" x14ac:dyDescent="0.25">
      <c r="B9" s="68" t="s">
        <v>20</v>
      </c>
      <c r="C9" s="113">
        <f>AVERAGE(Quantities!D16:I16)</f>
        <v>630175.63901270507</v>
      </c>
      <c r="D9" s="114">
        <f>F9+H9</f>
        <v>278386841.57272339</v>
      </c>
      <c r="E9" s="113">
        <f>D9/C9</f>
        <v>441.76071612173314</v>
      </c>
      <c r="F9" s="114">
        <f>Capex!D17+Capex!E17+Capex!F17+Capex!G17+Capex!H17+Capex!I17</f>
        <v>218994480.91063887</v>
      </c>
      <c r="G9" s="114">
        <f>F9/C9</f>
        <v>347.51340317397398</v>
      </c>
      <c r="H9" s="113">
        <f>Opex!D22+Opex!E22+Opex!F22+Opex!G37+Opex!H37+Opex!I37</f>
        <v>59392360.66208449</v>
      </c>
      <c r="I9" s="115">
        <f>H9/C9</f>
        <v>94.247312947759113</v>
      </c>
    </row>
    <row r="10" spans="2:9" x14ac:dyDescent="0.25">
      <c r="B10" s="68" t="s">
        <v>9</v>
      </c>
      <c r="C10" s="113">
        <f>AVERAGE(Quantities!D29:I29)</f>
        <v>672954.36374242452</v>
      </c>
      <c r="D10" s="114">
        <f t="shared" ref="D10:D13" si="0">F10+H10</f>
        <v>368306134.07335603</v>
      </c>
      <c r="E10" s="113">
        <f t="shared" ref="E10:E13" si="1">D10/C10</f>
        <v>547.29734127160873</v>
      </c>
      <c r="F10" s="114">
        <f>Capex!D29+Capex!E29+Capex!F29+Capex!G29+Capex!H29+Capex!I29</f>
        <v>279758683.82999611</v>
      </c>
      <c r="G10" s="114">
        <f t="shared" ref="G10:G13" si="2">F10/C10</f>
        <v>415.7171702910224</v>
      </c>
      <c r="H10" s="113">
        <f>Opex!D53+Opex!E53+Opex!F53+Opex!G68+Opex!H68+Opex!I68</f>
        <v>88547450.243359953</v>
      </c>
      <c r="I10" s="115">
        <f t="shared" ref="I10:I13" si="3">H10/C10</f>
        <v>131.58017098058639</v>
      </c>
    </row>
    <row r="11" spans="2:9" x14ac:dyDescent="0.25">
      <c r="B11" s="68" t="s">
        <v>11</v>
      </c>
      <c r="C11" s="113">
        <f>AVERAGE(Quantities!D39:I39)</f>
        <v>294304.32306941971</v>
      </c>
      <c r="D11" s="114">
        <f t="shared" si="0"/>
        <v>157156500.62086269</v>
      </c>
      <c r="E11" s="113">
        <f t="shared" si="1"/>
        <v>533.99317747633984</v>
      </c>
      <c r="F11" s="114">
        <f>Capex!D41+Capex!E41+Capex!F41+Capex!G41+Capex!H41+Capex!I41</f>
        <v>112732336.36941513</v>
      </c>
      <c r="G11" s="114">
        <f t="shared" si="2"/>
        <v>383.04682443561705</v>
      </c>
      <c r="H11" s="113">
        <f>Opex!D84+Opex!E84+Opex!F84+Opex!G99+Opex!H99+Opex!I99</f>
        <v>44424164.251447551</v>
      </c>
      <c r="I11" s="115">
        <f t="shared" si="3"/>
        <v>150.94635304072276</v>
      </c>
    </row>
    <row r="12" spans="2:9" x14ac:dyDescent="0.25">
      <c r="B12" s="68" t="s">
        <v>10</v>
      </c>
      <c r="C12" s="113">
        <f>AVERAGE(Quantities!D51:I51)</f>
        <v>717755.83603425475</v>
      </c>
      <c r="D12" s="114">
        <f t="shared" si="0"/>
        <v>385636829.20842755</v>
      </c>
      <c r="E12" s="113">
        <f t="shared" si="1"/>
        <v>537.28135648349235</v>
      </c>
      <c r="F12" s="114">
        <f>Capex!D53+Capex!E53+Capex!F53+Capex!G53+Capex!H53+Capex!I53</f>
        <v>263486952.58612397</v>
      </c>
      <c r="G12" s="114">
        <f t="shared" si="2"/>
        <v>367.09830747171952</v>
      </c>
      <c r="H12" s="113">
        <f>Opex!D115+Opex!E115+Opex!F115+Opex!G130+Opex!H130+Opex!I130</f>
        <v>122149876.62230358</v>
      </c>
      <c r="I12" s="115">
        <f t="shared" si="3"/>
        <v>170.18304901177285</v>
      </c>
    </row>
    <row r="13" spans="2:9" x14ac:dyDescent="0.25">
      <c r="B13" s="69" t="s">
        <v>12</v>
      </c>
      <c r="C13" s="116">
        <f>AVERAGE(Quantities!D64:I64)</f>
        <v>298234.76457383996</v>
      </c>
      <c r="D13" s="116">
        <f t="shared" si="0"/>
        <v>181906290.82038978</v>
      </c>
      <c r="E13" s="116">
        <f t="shared" si="1"/>
        <v>609.94328102668794</v>
      </c>
      <c r="F13" s="117">
        <f>Capex!E65+Capex!F65+Capex!G65+Capex!H65+Capex!I65+Capex!D65</f>
        <v>146489043.13933447</v>
      </c>
      <c r="G13" s="117">
        <f t="shared" si="2"/>
        <v>491.18701285096239</v>
      </c>
      <c r="H13" s="116">
        <f>Opex!D146+Opex!E146+Opex!F146+Opex!G161+Opex!H161+Opex!I161</f>
        <v>35417247.681055315</v>
      </c>
      <c r="I13" s="118">
        <f t="shared" si="3"/>
        <v>118.75626817572557</v>
      </c>
    </row>
    <row r="15" spans="2:9" x14ac:dyDescent="0.25">
      <c r="B15" s="119" t="s">
        <v>116</v>
      </c>
    </row>
    <row r="17" spans="2:9" x14ac:dyDescent="0.25">
      <c r="B17" s="70" t="s">
        <v>73</v>
      </c>
      <c r="C17" s="109"/>
      <c r="D17" s="110"/>
      <c r="E17" s="110"/>
      <c r="F17" s="110"/>
      <c r="G17" s="110"/>
      <c r="H17" s="110"/>
      <c r="I17" s="111"/>
    </row>
    <row r="18" spans="2:9" x14ac:dyDescent="0.25">
      <c r="B18" s="185" t="s">
        <v>21</v>
      </c>
      <c r="C18" s="197" t="s">
        <v>74</v>
      </c>
      <c r="D18" s="190" t="s">
        <v>28</v>
      </c>
      <c r="E18" s="191"/>
      <c r="F18" s="190" t="s">
        <v>24</v>
      </c>
      <c r="G18" s="191"/>
      <c r="H18" s="192" t="s">
        <v>25</v>
      </c>
      <c r="I18" s="191"/>
    </row>
    <row r="19" spans="2:9" ht="30" x14ac:dyDescent="0.25">
      <c r="B19" s="196"/>
      <c r="C19" s="198"/>
      <c r="D19" s="82" t="s">
        <v>79</v>
      </c>
      <c r="E19" s="75" t="s">
        <v>23</v>
      </c>
      <c r="F19" s="82" t="s">
        <v>79</v>
      </c>
      <c r="G19" s="76" t="s">
        <v>23</v>
      </c>
      <c r="H19" s="82" t="s">
        <v>79</v>
      </c>
      <c r="I19" s="75" t="s">
        <v>23</v>
      </c>
    </row>
    <row r="20" spans="2:9" x14ac:dyDescent="0.25">
      <c r="B20" s="68" t="s">
        <v>20</v>
      </c>
      <c r="C20" s="113">
        <f>AVERAGE(Quantities!J16:M16)</f>
        <v>661437.39</v>
      </c>
      <c r="D20" s="114">
        <f>F20+H20</f>
        <v>261969656.29453507</v>
      </c>
      <c r="E20" s="113">
        <f>D20/C20</f>
        <v>396.06115447228507</v>
      </c>
      <c r="F20" s="114">
        <f>Capex!J17+Capex!K17+Capex!L17+Capex!M17</f>
        <v>163448212.87115708</v>
      </c>
      <c r="G20" s="114">
        <f>F20/C20</f>
        <v>247.11063411634029</v>
      </c>
      <c r="H20" s="113">
        <f>Opex!J37+Opex!K37+Opex!L37+Opex!M37</f>
        <v>98521443.423377991</v>
      </c>
      <c r="I20" s="115">
        <f>H20/C20</f>
        <v>148.95052035594478</v>
      </c>
    </row>
    <row r="21" spans="2:9" x14ac:dyDescent="0.25">
      <c r="B21" s="68" t="s">
        <v>9</v>
      </c>
      <c r="C21" s="113">
        <f>AVERAGE(Quantities!J29:M29)</f>
        <v>745716.09403628099</v>
      </c>
      <c r="D21" s="114">
        <f t="shared" ref="D21:D24" si="4">F21+H21</f>
        <v>315541492.63203961</v>
      </c>
      <c r="E21" s="113">
        <f t="shared" ref="E21:E24" si="5">D21/C21</f>
        <v>423.13890655642427</v>
      </c>
      <c r="F21" s="114">
        <f>Capex!J29+Capex!K29+Capex!L29+Capex!M29</f>
        <v>238261214.52016717</v>
      </c>
      <c r="G21" s="114">
        <f t="shared" ref="G21:G24" si="6">F21/C21</f>
        <v>319.50660100487943</v>
      </c>
      <c r="H21" s="113">
        <f>Opex!J68+Opex!K68+Opex!L68+Opex!M68</f>
        <v>77280278.11187245</v>
      </c>
      <c r="I21" s="115">
        <f t="shared" ref="I21:I24" si="7">H21/C21</f>
        <v>103.63230555154489</v>
      </c>
    </row>
    <row r="22" spans="2:9" x14ac:dyDescent="0.25">
      <c r="B22" s="68" t="s">
        <v>11</v>
      </c>
      <c r="C22" s="113">
        <f>AVERAGE(Quantities!J39:M39)</f>
        <v>315419.48007261823</v>
      </c>
      <c r="D22" s="114">
        <f t="shared" si="4"/>
        <v>124693035.41295864</v>
      </c>
      <c r="E22" s="113">
        <f t="shared" si="5"/>
        <v>395.32445930178716</v>
      </c>
      <c r="F22" s="114">
        <f>Capex!J41+Capex!K41+Capex!L41+Capex!M41</f>
        <v>86537737.267564371</v>
      </c>
      <c r="G22" s="114">
        <f t="shared" si="6"/>
        <v>274.35761813963109</v>
      </c>
      <c r="H22" s="113">
        <f>Opex!J99+Opex!K99+Opex!L99+Opex!M99</f>
        <v>38155298.145394266</v>
      </c>
      <c r="I22" s="115">
        <f t="shared" si="7"/>
        <v>120.96684116215609</v>
      </c>
    </row>
    <row r="23" spans="2:9" x14ac:dyDescent="0.25">
      <c r="B23" s="68" t="s">
        <v>10</v>
      </c>
      <c r="C23" s="113">
        <f>AVERAGE(Quantities!J51:M51)</f>
        <v>680228.10968250013</v>
      </c>
      <c r="D23" s="114">
        <f t="shared" si="4"/>
        <v>546631939.85695434</v>
      </c>
      <c r="E23" s="113">
        <f t="shared" si="5"/>
        <v>803.60092750665297</v>
      </c>
      <c r="F23" s="114">
        <f>Capex!J53+Capex!K53+Capex!L53+Capex!M53</f>
        <v>376086903.70767677</v>
      </c>
      <c r="G23" s="114">
        <f t="shared" si="6"/>
        <v>552.88350827374245</v>
      </c>
      <c r="H23" s="113">
        <f>Opex!J130+Opex!K130+Opex!L130+Opex!M130</f>
        <v>170545036.14927751</v>
      </c>
      <c r="I23" s="115">
        <f t="shared" si="7"/>
        <v>250.71741923291034</v>
      </c>
    </row>
    <row r="24" spans="2:9" x14ac:dyDescent="0.25">
      <c r="B24" s="69" t="s">
        <v>12</v>
      </c>
      <c r="C24" s="116">
        <f>AVERAGE(Quantities!J64:M64)</f>
        <v>318684.99330431526</v>
      </c>
      <c r="D24" s="116">
        <f t="shared" si="4"/>
        <v>173505217.29028615</v>
      </c>
      <c r="E24" s="116">
        <f t="shared" si="5"/>
        <v>544.44112818517442</v>
      </c>
      <c r="F24" s="117">
        <f>Capex!J65+Capex!K65+Capex!L65+Capex!M65</f>
        <v>91395558.369826734</v>
      </c>
      <c r="G24" s="116">
        <f t="shared" si="6"/>
        <v>286.78965213323448</v>
      </c>
      <c r="H24" s="116">
        <f>Opex!J161+Opex!K161+Opex!L161+Opex!M161</f>
        <v>82109658.920459419</v>
      </c>
      <c r="I24" s="116">
        <f t="shared" si="7"/>
        <v>257.65147605193994</v>
      </c>
    </row>
    <row r="25" spans="2:9" x14ac:dyDescent="0.25">
      <c r="B25" s="101"/>
      <c r="C25" s="40"/>
      <c r="D25" s="40"/>
      <c r="E25" s="40"/>
      <c r="F25" s="40"/>
      <c r="G25" s="40"/>
      <c r="H25" s="40"/>
      <c r="I25" s="40"/>
    </row>
    <row r="26" spans="2:9" x14ac:dyDescent="0.25">
      <c r="B26" s="101" t="s">
        <v>117</v>
      </c>
      <c r="C26" s="40"/>
      <c r="D26" s="40"/>
      <c r="E26" s="40"/>
      <c r="F26" s="40"/>
      <c r="G26" s="40"/>
      <c r="H26" s="40"/>
      <c r="I26" s="40"/>
    </row>
    <row r="27" spans="2:9" x14ac:dyDescent="0.25">
      <c r="B27" s="101"/>
      <c r="C27" s="40"/>
      <c r="D27" s="40"/>
      <c r="E27" s="40"/>
      <c r="F27" s="40"/>
      <c r="G27" s="40"/>
      <c r="H27" s="40"/>
      <c r="I27" s="40"/>
    </row>
    <row r="28" spans="2:9" x14ac:dyDescent="0.25">
      <c r="B28" s="70" t="s">
        <v>73</v>
      </c>
      <c r="C28" s="109"/>
      <c r="D28" s="110"/>
      <c r="E28" s="110"/>
      <c r="F28" s="110"/>
      <c r="G28" s="110"/>
      <c r="H28" s="110"/>
      <c r="I28" s="111"/>
    </row>
    <row r="29" spans="2:9" x14ac:dyDescent="0.25">
      <c r="B29" s="185" t="s">
        <v>21</v>
      </c>
      <c r="C29" s="197" t="s">
        <v>74</v>
      </c>
      <c r="D29" s="190" t="s">
        <v>28</v>
      </c>
      <c r="E29" s="191"/>
      <c r="F29" s="190" t="s">
        <v>24</v>
      </c>
      <c r="G29" s="191"/>
      <c r="H29" s="192" t="s">
        <v>25</v>
      </c>
      <c r="I29" s="191"/>
    </row>
    <row r="30" spans="2:9" ht="30" x14ac:dyDescent="0.25">
      <c r="B30" s="196"/>
      <c r="C30" s="198"/>
      <c r="D30" s="82" t="s">
        <v>82</v>
      </c>
      <c r="E30" s="75" t="s">
        <v>23</v>
      </c>
      <c r="F30" s="82" t="s">
        <v>82</v>
      </c>
      <c r="G30" s="76" t="s">
        <v>23</v>
      </c>
      <c r="H30" s="82" t="s">
        <v>82</v>
      </c>
      <c r="I30" s="75" t="s">
        <v>23</v>
      </c>
    </row>
    <row r="31" spans="2:9" x14ac:dyDescent="0.25">
      <c r="B31" s="68" t="s">
        <v>20</v>
      </c>
      <c r="C31" s="113">
        <f>AVERAGE(Quantities!D16:M16)</f>
        <v>642680.33940762305</v>
      </c>
      <c r="D31" s="114">
        <f>D9+D20</f>
        <v>540356497.86725843</v>
      </c>
      <c r="E31" s="113">
        <f>D31/C31</f>
        <v>840.78579152634506</v>
      </c>
      <c r="F31" s="114">
        <f>F9+F20</f>
        <v>382442693.78179598</v>
      </c>
      <c r="G31" s="114">
        <f>F31/C31</f>
        <v>595.07451890360358</v>
      </c>
      <c r="H31" s="113">
        <f>H9+H20</f>
        <v>157913804.08546248</v>
      </c>
      <c r="I31" s="115">
        <f>H31/C31</f>
        <v>245.71127262274146</v>
      </c>
    </row>
    <row r="32" spans="2:9" x14ac:dyDescent="0.25">
      <c r="B32" s="68" t="s">
        <v>9</v>
      </c>
      <c r="C32" s="113">
        <f>AVERAGE(Quantities!D29:M29)</f>
        <v>702059.05585996702</v>
      </c>
      <c r="D32" s="114">
        <f t="shared" ref="D32:D35" si="8">D10+D21</f>
        <v>683847626.7053957</v>
      </c>
      <c r="E32" s="113">
        <f t="shared" ref="E32:E35" si="9">D32/C32</f>
        <v>974.05997543573631</v>
      </c>
      <c r="F32" s="114">
        <f t="shared" ref="F32:F35" si="10">F10+F21</f>
        <v>518019898.35016328</v>
      </c>
      <c r="G32" s="114">
        <f>F32/C32</f>
        <v>737.85801069915658</v>
      </c>
      <c r="H32" s="113">
        <f t="shared" ref="H32:H35" si="11">H10+H21</f>
        <v>165827728.35523242</v>
      </c>
      <c r="I32" s="115">
        <f t="shared" ref="I32:I35" si="12">H32/C32</f>
        <v>236.20196473657978</v>
      </c>
    </row>
    <row r="33" spans="2:14" ht="15" customHeight="1" x14ac:dyDescent="0.25">
      <c r="B33" s="68" t="s">
        <v>11</v>
      </c>
      <c r="C33" s="113">
        <f>AVERAGE(Quantities!D39:M39)</f>
        <v>302750.38587069913</v>
      </c>
      <c r="D33" s="114">
        <f t="shared" si="8"/>
        <v>281849536.03382134</v>
      </c>
      <c r="E33" s="113">
        <f t="shared" si="9"/>
        <v>930.96342461540485</v>
      </c>
      <c r="F33" s="114">
        <f t="shared" si="10"/>
        <v>199270073.63697952</v>
      </c>
      <c r="G33" s="114">
        <f t="shared" ref="G33:G35" si="13">F33/C33</f>
        <v>658.19923916491803</v>
      </c>
      <c r="H33" s="113">
        <f t="shared" si="11"/>
        <v>82579462.396841824</v>
      </c>
      <c r="I33" s="115">
        <f t="shared" si="12"/>
        <v>272.76418545048682</v>
      </c>
    </row>
    <row r="34" spans="2:14" x14ac:dyDescent="0.25">
      <c r="B34" s="68" t="s">
        <v>10</v>
      </c>
      <c r="C34" s="113">
        <f>AVERAGE(Quantities!D51:M51)</f>
        <v>702744.74549355288</v>
      </c>
      <c r="D34" s="114">
        <f t="shared" si="8"/>
        <v>932268769.06538188</v>
      </c>
      <c r="E34" s="113">
        <f t="shared" si="9"/>
        <v>1326.6108000716949</v>
      </c>
      <c r="F34" s="114">
        <f t="shared" si="10"/>
        <v>639573856.29380071</v>
      </c>
      <c r="G34" s="114">
        <f t="shared" si="13"/>
        <v>910.10834359866203</v>
      </c>
      <c r="H34" s="113">
        <f t="shared" si="11"/>
        <v>292694912.77158105</v>
      </c>
      <c r="I34" s="115">
        <f t="shared" si="12"/>
        <v>416.50245647303285</v>
      </c>
    </row>
    <row r="35" spans="2:14" x14ac:dyDescent="0.25">
      <c r="B35" s="69" t="s">
        <v>12</v>
      </c>
      <c r="C35" s="116">
        <f>AVERAGE(Quantities!D64:M64)</f>
        <v>306414.8560660301</v>
      </c>
      <c r="D35" s="117">
        <f t="shared" si="8"/>
        <v>355411508.11067593</v>
      </c>
      <c r="E35" s="116">
        <f t="shared" si="9"/>
        <v>1159.9029912377598</v>
      </c>
      <c r="F35" s="117">
        <f t="shared" si="10"/>
        <v>237884601.5091612</v>
      </c>
      <c r="G35" s="116">
        <f t="shared" si="13"/>
        <v>776.34813325728192</v>
      </c>
      <c r="H35" s="116">
        <f t="shared" si="11"/>
        <v>117526906.60151473</v>
      </c>
      <c r="I35" s="116">
        <f t="shared" si="12"/>
        <v>383.55485798047783</v>
      </c>
    </row>
    <row r="36" spans="2:14" hidden="1" x14ac:dyDescent="0.25">
      <c r="B36" s="101"/>
      <c r="C36" s="40"/>
      <c r="D36" s="40"/>
      <c r="E36" s="40"/>
      <c r="F36" s="40"/>
      <c r="G36" s="40"/>
      <c r="H36" s="40"/>
      <c r="I36" s="40"/>
    </row>
    <row r="37" spans="2:14" hidden="1" x14ac:dyDescent="0.25">
      <c r="B37" s="5" t="s">
        <v>80</v>
      </c>
      <c r="C37" s="122"/>
      <c r="D37" s="122"/>
      <c r="E37" s="122"/>
      <c r="F37" s="122"/>
      <c r="G37" s="122"/>
      <c r="H37" s="122"/>
      <c r="I37" s="122"/>
    </row>
    <row r="38" spans="2:14" hidden="1" x14ac:dyDescent="0.25"/>
    <row r="39" spans="2:14" hidden="1" x14ac:dyDescent="0.25">
      <c r="B39" s="119" t="s">
        <v>115</v>
      </c>
    </row>
    <row r="40" spans="2:14" hidden="1" x14ac:dyDescent="0.25"/>
    <row r="41" spans="2:14" hidden="1" x14ac:dyDescent="0.25">
      <c r="B41" s="70" t="s">
        <v>73</v>
      </c>
      <c r="C41" s="109"/>
      <c r="D41" s="110"/>
      <c r="E41" s="110"/>
      <c r="F41" s="110"/>
      <c r="G41" s="110"/>
      <c r="H41" s="110"/>
      <c r="I41" s="110"/>
      <c r="J41" s="110"/>
      <c r="K41" s="111"/>
      <c r="M41" s="119" t="s">
        <v>83</v>
      </c>
    </row>
    <row r="42" spans="2:14" ht="34.5" hidden="1" customHeight="1" x14ac:dyDescent="0.25">
      <c r="B42" s="185" t="s">
        <v>21</v>
      </c>
      <c r="C42" s="197" t="s">
        <v>74</v>
      </c>
      <c r="D42" s="183" t="s">
        <v>30</v>
      </c>
      <c r="E42" s="184"/>
      <c r="F42" s="183" t="s">
        <v>29</v>
      </c>
      <c r="G42" s="184"/>
      <c r="H42" s="183" t="s">
        <v>122</v>
      </c>
      <c r="I42" s="184"/>
      <c r="J42" s="183" t="s">
        <v>123</v>
      </c>
      <c r="K42" s="184"/>
      <c r="M42" s="147" t="s">
        <v>114</v>
      </c>
    </row>
    <row r="43" spans="2:14" ht="30" hidden="1" x14ac:dyDescent="0.25">
      <c r="B43" s="196"/>
      <c r="C43" s="198"/>
      <c r="D43" s="82" t="s">
        <v>120</v>
      </c>
      <c r="E43" s="75" t="s">
        <v>23</v>
      </c>
      <c r="F43" s="82" t="s">
        <v>120</v>
      </c>
      <c r="G43" s="76" t="s">
        <v>23</v>
      </c>
      <c r="H43" s="82" t="s">
        <v>120</v>
      </c>
      <c r="I43" s="75" t="s">
        <v>23</v>
      </c>
      <c r="J43" s="82" t="s">
        <v>76</v>
      </c>
      <c r="K43" s="75" t="s">
        <v>23</v>
      </c>
      <c r="M43" s="124" t="s">
        <v>84</v>
      </c>
    </row>
    <row r="44" spans="2:14" hidden="1" x14ac:dyDescent="0.25">
      <c r="B44" s="68" t="s">
        <v>20</v>
      </c>
      <c r="C44" s="113">
        <f>C9</f>
        <v>630175.63901270507</v>
      </c>
      <c r="D44" s="114">
        <f>SUM(Capex!D10:I13)</f>
        <v>99105912.750638992</v>
      </c>
      <c r="E44" s="113">
        <f>D44/C44</f>
        <v>157.26712778981434</v>
      </c>
      <c r="F44" s="114">
        <f>SUM(Capex!D13:I13)</f>
        <v>73089055.72986877</v>
      </c>
      <c r="G44" s="114">
        <f>F44/C44</f>
        <v>115.98203929999143</v>
      </c>
      <c r="H44" s="113" t="e">
        <f>C44*#REF!</f>
        <v>#REF!</v>
      </c>
      <c r="I44" s="115" t="e">
        <f>H44/C44</f>
        <v>#REF!</v>
      </c>
      <c r="J44" s="115" t="e">
        <f t="shared" ref="J44:J48" si="14">F44-H44</f>
        <v>#REF!</v>
      </c>
      <c r="K44" s="115" t="e">
        <f>J44/C44</f>
        <v>#REF!</v>
      </c>
      <c r="M44" s="123" t="e">
        <f>(K44+I44)*C44</f>
        <v>#REF!</v>
      </c>
      <c r="N44" s="112" t="e">
        <f>IF(M44=F44,TRUE, FALSE)</f>
        <v>#REF!</v>
      </c>
    </row>
    <row r="45" spans="2:14" hidden="1" x14ac:dyDescent="0.25">
      <c r="B45" s="68" t="s">
        <v>9</v>
      </c>
      <c r="C45" s="113">
        <f t="shared" ref="C45:C48" si="15">C10</f>
        <v>672954.36374242452</v>
      </c>
      <c r="D45" s="114">
        <f>SUM(Capex!D22:I25)</f>
        <v>201310685.81999606</v>
      </c>
      <c r="E45" s="113">
        <f t="shared" ref="E45:E48" si="16">D45/C45</f>
        <v>299.14463248364996</v>
      </c>
      <c r="F45" s="114">
        <f>SUM(Capex!D25:I25)</f>
        <v>161130200.49042645</v>
      </c>
      <c r="G45" s="114">
        <f t="shared" ref="G45:G48" si="17">F45/C45</f>
        <v>239.43703937715983</v>
      </c>
      <c r="H45" s="113" t="e">
        <f>C45*#REF!</f>
        <v>#REF!</v>
      </c>
      <c r="I45" s="115" t="e">
        <f t="shared" ref="I45:I48" si="18">H45/C45</f>
        <v>#REF!</v>
      </c>
      <c r="J45" s="115" t="e">
        <f t="shared" si="14"/>
        <v>#REF!</v>
      </c>
      <c r="K45" s="115" t="e">
        <f t="shared" ref="K45:K48" si="19">J45/C45</f>
        <v>#REF!</v>
      </c>
      <c r="M45" s="123" t="e">
        <f t="shared" ref="M45:M48" si="20">(K45+I45)*C45</f>
        <v>#REF!</v>
      </c>
      <c r="N45" s="112" t="e">
        <f t="shared" ref="N45:N48" si="21">IF(M45=F45,TRUE, FALSE)</f>
        <v>#REF!</v>
      </c>
    </row>
    <row r="46" spans="2:14" hidden="1" x14ac:dyDescent="0.25">
      <c r="B46" s="68" t="s">
        <v>11</v>
      </c>
      <c r="C46" s="113">
        <f t="shared" si="15"/>
        <v>294304.32306941971</v>
      </c>
      <c r="D46" s="114">
        <f>SUM(Capex!D34:I37)</f>
        <v>78507051.849588841</v>
      </c>
      <c r="E46" s="113">
        <f t="shared" si="16"/>
        <v>266.75466751832528</v>
      </c>
      <c r="F46" s="114">
        <f>SUM(Capex!D37:I37)</f>
        <v>64677446.277948707</v>
      </c>
      <c r="G46" s="114">
        <f t="shared" si="17"/>
        <v>219.76383358355483</v>
      </c>
      <c r="H46" s="113" t="e">
        <f>C46*#REF!</f>
        <v>#REF!</v>
      </c>
      <c r="I46" s="115" t="e">
        <f t="shared" si="18"/>
        <v>#REF!</v>
      </c>
      <c r="J46" s="115" t="e">
        <f t="shared" si="14"/>
        <v>#REF!</v>
      </c>
      <c r="K46" s="115" t="e">
        <f t="shared" si="19"/>
        <v>#REF!</v>
      </c>
      <c r="M46" s="123" t="e">
        <f t="shared" si="20"/>
        <v>#REF!</v>
      </c>
      <c r="N46" s="112" t="e">
        <f t="shared" si="21"/>
        <v>#REF!</v>
      </c>
    </row>
    <row r="47" spans="2:14" hidden="1" x14ac:dyDescent="0.25">
      <c r="B47" s="68" t="s">
        <v>10</v>
      </c>
      <c r="C47" s="113">
        <f t="shared" si="15"/>
        <v>717755.83603425475</v>
      </c>
      <c r="D47" s="114">
        <f>SUM(Capex!D46:I49)</f>
        <v>156029142.74314028</v>
      </c>
      <c r="E47" s="113">
        <f t="shared" si="16"/>
        <v>217.38470787675186</v>
      </c>
      <c r="F47" s="114">
        <f>SUM(Capex!D49:I49)</f>
        <v>113603480.31733042</v>
      </c>
      <c r="G47" s="114">
        <f t="shared" si="17"/>
        <v>158.27594094533941</v>
      </c>
      <c r="H47" s="113">
        <v>0</v>
      </c>
      <c r="I47" s="115">
        <f t="shared" si="18"/>
        <v>0</v>
      </c>
      <c r="J47" s="115">
        <f t="shared" si="14"/>
        <v>113603480.31733042</v>
      </c>
      <c r="K47" s="115">
        <f t="shared" si="19"/>
        <v>158.27594094533941</v>
      </c>
      <c r="M47" s="123">
        <f t="shared" si="20"/>
        <v>113603480.31733042</v>
      </c>
      <c r="N47" s="112" t="b">
        <f t="shared" si="21"/>
        <v>1</v>
      </c>
    </row>
    <row r="48" spans="2:14" hidden="1" x14ac:dyDescent="0.25">
      <c r="B48" s="69" t="s">
        <v>12</v>
      </c>
      <c r="C48" s="116">
        <f t="shared" si="15"/>
        <v>298234.76457383996</v>
      </c>
      <c r="D48" s="116">
        <f>SUM(Capex!D58:I61)</f>
        <v>56030076.366032891</v>
      </c>
      <c r="E48" s="116">
        <f t="shared" si="16"/>
        <v>187.87238451592521</v>
      </c>
      <c r="F48" s="117">
        <f>SUM(Capex!D61:I61)</f>
        <v>33331894.957729712</v>
      </c>
      <c r="G48" s="116">
        <f t="shared" si="17"/>
        <v>111.7639487983872</v>
      </c>
      <c r="H48" s="116" t="e">
        <f>C48*#REF!</f>
        <v>#REF!</v>
      </c>
      <c r="I48" s="116" t="e">
        <f t="shared" si="18"/>
        <v>#REF!</v>
      </c>
      <c r="J48" s="116" t="e">
        <f t="shared" si="14"/>
        <v>#REF!</v>
      </c>
      <c r="K48" s="118" t="e">
        <f t="shared" si="19"/>
        <v>#REF!</v>
      </c>
      <c r="M48" s="123" t="e">
        <f t="shared" si="20"/>
        <v>#REF!</v>
      </c>
      <c r="N48" s="112" t="e">
        <f t="shared" si="21"/>
        <v>#REF!</v>
      </c>
    </row>
    <row r="49" spans="2:14" hidden="1" x14ac:dyDescent="0.25"/>
    <row r="50" spans="2:14" hidden="1" x14ac:dyDescent="0.25">
      <c r="B50" s="119" t="s">
        <v>116</v>
      </c>
    </row>
    <row r="51" spans="2:14" hidden="1" x14ac:dyDescent="0.25"/>
    <row r="52" spans="2:14" hidden="1" x14ac:dyDescent="0.25">
      <c r="B52" s="70" t="s">
        <v>73</v>
      </c>
      <c r="C52" s="109"/>
      <c r="D52" s="110"/>
      <c r="E52" s="110"/>
      <c r="F52" s="110"/>
      <c r="G52" s="110"/>
      <c r="H52" s="110"/>
      <c r="I52" s="110"/>
      <c r="J52" s="110"/>
      <c r="K52" s="111"/>
      <c r="M52" s="119" t="s">
        <v>83</v>
      </c>
    </row>
    <row r="53" spans="2:14" ht="33.75" hidden="1" customHeight="1" x14ac:dyDescent="0.25">
      <c r="B53" s="185" t="s">
        <v>21</v>
      </c>
      <c r="C53" s="197" t="s">
        <v>74</v>
      </c>
      <c r="D53" s="183" t="s">
        <v>30</v>
      </c>
      <c r="E53" s="184"/>
      <c r="F53" s="183" t="s">
        <v>29</v>
      </c>
      <c r="G53" s="184"/>
      <c r="H53" s="183" t="s">
        <v>122</v>
      </c>
      <c r="I53" s="184"/>
      <c r="J53" s="183" t="s">
        <v>123</v>
      </c>
      <c r="K53" s="184"/>
      <c r="M53" s="147" t="s">
        <v>114</v>
      </c>
    </row>
    <row r="54" spans="2:14" ht="30" hidden="1" x14ac:dyDescent="0.25">
      <c r="B54" s="196"/>
      <c r="C54" s="198"/>
      <c r="D54" s="82" t="s">
        <v>79</v>
      </c>
      <c r="E54" s="75" t="s">
        <v>23</v>
      </c>
      <c r="F54" s="82" t="s">
        <v>79</v>
      </c>
      <c r="G54" s="76" t="s">
        <v>23</v>
      </c>
      <c r="H54" s="82" t="s">
        <v>79</v>
      </c>
      <c r="I54" s="75" t="s">
        <v>23</v>
      </c>
      <c r="J54" s="82" t="s">
        <v>79</v>
      </c>
      <c r="K54" s="75" t="s">
        <v>23</v>
      </c>
      <c r="M54" s="124" t="s">
        <v>84</v>
      </c>
    </row>
    <row r="55" spans="2:14" hidden="1" x14ac:dyDescent="0.25">
      <c r="B55" s="68" t="s">
        <v>20</v>
      </c>
      <c r="C55" s="113">
        <f>C20</f>
        <v>661437.39</v>
      </c>
      <c r="D55" s="114">
        <f>SUM(Capex!J10:M13)</f>
        <v>135425697.77115706</v>
      </c>
      <c r="E55" s="113">
        <f>D55/C55</f>
        <v>204.74454546810099</v>
      </c>
      <c r="F55" s="114">
        <f>SUM(Capex!J13:M13)</f>
        <v>133302294.79115705</v>
      </c>
      <c r="G55" s="114">
        <f>F55/C55</f>
        <v>201.53425979011718</v>
      </c>
      <c r="H55" s="113" t="e">
        <f>C55*#REF!</f>
        <v>#REF!</v>
      </c>
      <c r="I55" s="115" t="e">
        <f>H55/C55</f>
        <v>#REF!</v>
      </c>
      <c r="J55" s="115" t="e">
        <f>F55-H55</f>
        <v>#REF!</v>
      </c>
      <c r="K55" s="115" t="e">
        <f>J55/C55</f>
        <v>#REF!</v>
      </c>
      <c r="M55" s="123" t="e">
        <f>(K55+I55)*C55</f>
        <v>#REF!</v>
      </c>
      <c r="N55" s="112" t="e">
        <f>IF(M55=F55,TRUE, FALSE)</f>
        <v>#REF!</v>
      </c>
    </row>
    <row r="56" spans="2:14" hidden="1" x14ac:dyDescent="0.25">
      <c r="B56" s="68" t="s">
        <v>9</v>
      </c>
      <c r="C56" s="113">
        <f t="shared" ref="C56:C59" si="22">C21</f>
        <v>745716.09403628099</v>
      </c>
      <c r="D56" s="114">
        <f>SUM(Capex!J22:M25)</f>
        <v>189884320.08128628</v>
      </c>
      <c r="E56" s="113">
        <f t="shared" ref="E56:E59" si="23">D56/C56</f>
        <v>254.63352822856996</v>
      </c>
      <c r="F56" s="114">
        <f>SUM(Capex!J25:M25)</f>
        <v>188514311.42128628</v>
      </c>
      <c r="G56" s="114">
        <f t="shared" ref="G56:G59" si="24">F56/C56</f>
        <v>252.79635631964058</v>
      </c>
      <c r="H56" s="113" t="e">
        <f>C56*#REF!</f>
        <v>#REF!</v>
      </c>
      <c r="I56" s="115" t="e">
        <f t="shared" ref="I56:I59" si="25">H56/C56</f>
        <v>#REF!</v>
      </c>
      <c r="J56" s="115" t="e">
        <f t="shared" ref="J56:J59" si="26">F56-H56</f>
        <v>#REF!</v>
      </c>
      <c r="K56" s="115" t="e">
        <f t="shared" ref="K56:K59" si="27">J56/C56</f>
        <v>#REF!</v>
      </c>
      <c r="M56" s="123" t="e">
        <f t="shared" ref="M56:M59" si="28">(K56+I56)*C56</f>
        <v>#REF!</v>
      </c>
      <c r="N56" s="112" t="e">
        <f t="shared" ref="N56:N59" si="29">IF(M56=F56,TRUE, FALSE)</f>
        <v>#REF!</v>
      </c>
    </row>
    <row r="57" spans="2:14" hidden="1" x14ac:dyDescent="0.25">
      <c r="B57" s="68" t="s">
        <v>11</v>
      </c>
      <c r="C57" s="113">
        <f t="shared" si="22"/>
        <v>315419.48007261823</v>
      </c>
      <c r="D57" s="114">
        <f>SUM(Capex!J34:M37)</f>
        <v>65466076.846013069</v>
      </c>
      <c r="E57" s="113">
        <f t="shared" si="23"/>
        <v>207.55242140067247</v>
      </c>
      <c r="F57" s="114">
        <f>SUM(Capex!J37:M37)</f>
        <v>65328425.676013067</v>
      </c>
      <c r="G57" s="114">
        <f t="shared" si="24"/>
        <v>207.11601471466719</v>
      </c>
      <c r="H57" s="113" t="e">
        <f>C57*#REF!</f>
        <v>#REF!</v>
      </c>
      <c r="I57" s="115" t="e">
        <f t="shared" si="25"/>
        <v>#REF!</v>
      </c>
      <c r="J57" s="115" t="e">
        <f t="shared" si="26"/>
        <v>#REF!</v>
      </c>
      <c r="K57" s="115" t="e">
        <f t="shared" si="27"/>
        <v>#REF!</v>
      </c>
      <c r="M57" s="123" t="e">
        <f t="shared" si="28"/>
        <v>#REF!</v>
      </c>
      <c r="N57" s="112" t="e">
        <f t="shared" si="29"/>
        <v>#REF!</v>
      </c>
    </row>
    <row r="58" spans="2:14" hidden="1" x14ac:dyDescent="0.25">
      <c r="B58" s="68" t="s">
        <v>10</v>
      </c>
      <c r="C58" s="113">
        <f t="shared" si="22"/>
        <v>680228.10968250013</v>
      </c>
      <c r="D58" s="114">
        <f>SUM(Capex!J46:M49)</f>
        <v>215381270.37184739</v>
      </c>
      <c r="E58" s="113">
        <f t="shared" si="23"/>
        <v>316.63094674575808</v>
      </c>
      <c r="F58" s="114">
        <f>SUM(Capex!J49:M49)</f>
        <v>214636606.52184737</v>
      </c>
      <c r="G58" s="114">
        <f t="shared" si="24"/>
        <v>315.53622008068749</v>
      </c>
      <c r="H58" s="113">
        <v>0</v>
      </c>
      <c r="I58" s="115">
        <f t="shared" si="25"/>
        <v>0</v>
      </c>
      <c r="J58" s="115">
        <f t="shared" si="26"/>
        <v>214636606.52184737</v>
      </c>
      <c r="K58" s="115">
        <f t="shared" si="27"/>
        <v>315.53622008068749</v>
      </c>
      <c r="M58" s="123">
        <f t="shared" si="28"/>
        <v>214636606.5218474</v>
      </c>
      <c r="N58" s="112" t="b">
        <f t="shared" si="29"/>
        <v>1</v>
      </c>
    </row>
    <row r="59" spans="2:14" hidden="1" x14ac:dyDescent="0.25">
      <c r="B59" s="69" t="s">
        <v>12</v>
      </c>
      <c r="C59" s="116">
        <f t="shared" si="22"/>
        <v>318684.99330431526</v>
      </c>
      <c r="D59" s="116">
        <f>SUM(Capex!J58:M61)</f>
        <v>70900812.762653902</v>
      </c>
      <c r="E59" s="116">
        <f t="shared" si="23"/>
        <v>222.47929539295896</v>
      </c>
      <c r="F59" s="117">
        <f>SUM(Capex!J61:M61)</f>
        <v>70100528.584135681</v>
      </c>
      <c r="G59" s="116">
        <f t="shared" si="24"/>
        <v>219.96808778879662</v>
      </c>
      <c r="H59" s="116" t="e">
        <f>C59*#REF!</f>
        <v>#REF!</v>
      </c>
      <c r="I59" s="116" t="e">
        <f t="shared" si="25"/>
        <v>#REF!</v>
      </c>
      <c r="J59" s="116" t="e">
        <f t="shared" si="26"/>
        <v>#REF!</v>
      </c>
      <c r="K59" s="116" t="e">
        <f t="shared" si="27"/>
        <v>#REF!</v>
      </c>
      <c r="M59" s="123" t="e">
        <f t="shared" si="28"/>
        <v>#REF!</v>
      </c>
      <c r="N59" s="112" t="e">
        <f t="shared" si="29"/>
        <v>#REF!</v>
      </c>
    </row>
    <row r="60" spans="2:14" hidden="1" x14ac:dyDescent="0.25"/>
    <row r="61" spans="2:14" hidden="1" x14ac:dyDescent="0.25">
      <c r="B61" s="101" t="s">
        <v>117</v>
      </c>
      <c r="C61" s="40"/>
      <c r="D61" s="40"/>
      <c r="E61" s="40"/>
      <c r="F61" s="40"/>
      <c r="G61" s="40"/>
      <c r="H61" s="40"/>
      <c r="I61" s="40"/>
    </row>
    <row r="62" spans="2:14" hidden="1" x14ac:dyDescent="0.25">
      <c r="B62" s="101"/>
      <c r="C62" s="40"/>
      <c r="D62" s="40"/>
      <c r="E62" s="40"/>
      <c r="F62" s="40"/>
      <c r="G62" s="40"/>
      <c r="H62" s="40"/>
      <c r="I62" s="40"/>
    </row>
    <row r="63" spans="2:14" hidden="1" x14ac:dyDescent="0.25">
      <c r="B63" s="70" t="s">
        <v>73</v>
      </c>
      <c r="C63" s="109"/>
      <c r="D63" s="110"/>
      <c r="E63" s="110"/>
      <c r="F63" s="110"/>
      <c r="G63" s="110"/>
      <c r="H63" s="110"/>
      <c r="I63" s="110"/>
      <c r="J63" s="110"/>
      <c r="K63" s="111"/>
      <c r="M63" s="119" t="s">
        <v>83</v>
      </c>
    </row>
    <row r="64" spans="2:14" ht="33" hidden="1" customHeight="1" x14ac:dyDescent="0.25">
      <c r="B64" s="185" t="s">
        <v>21</v>
      </c>
      <c r="C64" s="197" t="s">
        <v>74</v>
      </c>
      <c r="D64" s="183" t="s">
        <v>30</v>
      </c>
      <c r="E64" s="184"/>
      <c r="F64" s="183" t="s">
        <v>29</v>
      </c>
      <c r="G64" s="184"/>
      <c r="H64" s="183" t="s">
        <v>122</v>
      </c>
      <c r="I64" s="184"/>
      <c r="J64" s="183" t="s">
        <v>123</v>
      </c>
      <c r="K64" s="184"/>
      <c r="M64" s="147" t="s">
        <v>114</v>
      </c>
    </row>
    <row r="65" spans="2:14" ht="30" hidden="1" x14ac:dyDescent="0.25">
      <c r="B65" s="196"/>
      <c r="C65" s="198"/>
      <c r="D65" s="82" t="s">
        <v>82</v>
      </c>
      <c r="E65" s="75" t="s">
        <v>23</v>
      </c>
      <c r="F65" s="82" t="s">
        <v>82</v>
      </c>
      <c r="G65" s="76" t="s">
        <v>23</v>
      </c>
      <c r="H65" s="82" t="s">
        <v>82</v>
      </c>
      <c r="I65" s="75" t="s">
        <v>23</v>
      </c>
      <c r="J65" s="82" t="s">
        <v>82</v>
      </c>
      <c r="K65" s="75" t="s">
        <v>23</v>
      </c>
      <c r="M65" s="124" t="s">
        <v>84</v>
      </c>
    </row>
    <row r="66" spans="2:14" hidden="1" x14ac:dyDescent="0.25">
      <c r="B66" s="68" t="s">
        <v>20</v>
      </c>
      <c r="C66" s="113">
        <f>C31</f>
        <v>642680.33940762305</v>
      </c>
      <c r="D66" s="114">
        <f>D44+D55</f>
        <v>234531610.52179605</v>
      </c>
      <c r="E66" s="113">
        <f>D66/C66</f>
        <v>364.9273147798026</v>
      </c>
      <c r="F66" s="114">
        <f>F44+F55</f>
        <v>206391350.52102584</v>
      </c>
      <c r="G66" s="114">
        <f>F66/C66</f>
        <v>321.14153470333741</v>
      </c>
      <c r="H66" s="113" t="e">
        <f>C66*#REF!</f>
        <v>#REF!</v>
      </c>
      <c r="I66" s="115" t="e">
        <f>H66/C66</f>
        <v>#REF!</v>
      </c>
      <c r="J66" s="115" t="e">
        <f>F66-H66</f>
        <v>#REF!</v>
      </c>
      <c r="K66" s="115" t="e">
        <f>J66/C66</f>
        <v>#REF!</v>
      </c>
      <c r="M66" s="123" t="e">
        <f>(K66+I66)*C66</f>
        <v>#REF!</v>
      </c>
      <c r="N66" s="112" t="e">
        <f>IF(M66=F66,TRUE, FALSE)</f>
        <v>#REF!</v>
      </c>
    </row>
    <row r="67" spans="2:14" hidden="1" x14ac:dyDescent="0.25">
      <c r="B67" s="68" t="s">
        <v>9</v>
      </c>
      <c r="C67" s="113">
        <f t="shared" ref="C67:C70" si="30">C32</f>
        <v>702059.05585996702</v>
      </c>
      <c r="D67" s="114">
        <f t="shared" ref="D67:D70" si="31">D45+D56</f>
        <v>391195005.90128231</v>
      </c>
      <c r="E67" s="113">
        <f t="shared" ref="E67:E70" si="32">D67/C67</f>
        <v>557.21096770427562</v>
      </c>
      <c r="F67" s="114">
        <f t="shared" ref="F67:F70" si="33">F45+F56</f>
        <v>349644511.91171277</v>
      </c>
      <c r="G67" s="114">
        <f t="shared" ref="G67:G70" si="34">F67/C67</f>
        <v>498.02720867039568</v>
      </c>
      <c r="H67" s="113" t="e">
        <f>C67*#REF!</f>
        <v>#REF!</v>
      </c>
      <c r="I67" s="115" t="e">
        <f t="shared" ref="I67:I70" si="35">H67/C67</f>
        <v>#REF!</v>
      </c>
      <c r="J67" s="115" t="e">
        <f t="shared" ref="J67:J70" si="36">F67-H67</f>
        <v>#REF!</v>
      </c>
      <c r="K67" s="115" t="e">
        <f t="shared" ref="K67:K70" si="37">J67/C67</f>
        <v>#REF!</v>
      </c>
      <c r="M67" s="123" t="e">
        <f t="shared" ref="M67:M70" si="38">(K67+I67)*C67</f>
        <v>#REF!</v>
      </c>
      <c r="N67" s="112" t="e">
        <f t="shared" ref="N67:N70" si="39">IF(M67=F67,TRUE, FALSE)</f>
        <v>#REF!</v>
      </c>
    </row>
    <row r="68" spans="2:14" hidden="1" x14ac:dyDescent="0.25">
      <c r="B68" s="68" t="s">
        <v>11</v>
      </c>
      <c r="C68" s="113">
        <f t="shared" si="30"/>
        <v>302750.38587069913</v>
      </c>
      <c r="D68" s="114">
        <f t="shared" si="31"/>
        <v>143973128.69560191</v>
      </c>
      <c r="E68" s="113">
        <f t="shared" si="32"/>
        <v>475.55060345023315</v>
      </c>
      <c r="F68" s="114">
        <f t="shared" si="33"/>
        <v>130005871.95396177</v>
      </c>
      <c r="G68" s="114">
        <f t="shared" si="34"/>
        <v>429.41604047859295</v>
      </c>
      <c r="H68" s="113" t="e">
        <f>C68*#REF!</f>
        <v>#REF!</v>
      </c>
      <c r="I68" s="115" t="e">
        <f t="shared" si="35"/>
        <v>#REF!</v>
      </c>
      <c r="J68" s="115" t="e">
        <f t="shared" si="36"/>
        <v>#REF!</v>
      </c>
      <c r="K68" s="115" t="e">
        <f t="shared" si="37"/>
        <v>#REF!</v>
      </c>
      <c r="M68" s="123" t="e">
        <f t="shared" si="38"/>
        <v>#REF!</v>
      </c>
      <c r="N68" s="112" t="e">
        <f t="shared" si="39"/>
        <v>#REF!</v>
      </c>
    </row>
    <row r="69" spans="2:14" hidden="1" x14ac:dyDescent="0.25">
      <c r="B69" s="68" t="s">
        <v>10</v>
      </c>
      <c r="C69" s="113">
        <f t="shared" si="30"/>
        <v>702744.74549355288</v>
      </c>
      <c r="D69" s="114">
        <f t="shared" si="31"/>
        <v>371410413.11498767</v>
      </c>
      <c r="E69" s="113">
        <f t="shared" si="32"/>
        <v>528.51396683747248</v>
      </c>
      <c r="F69" s="114">
        <f t="shared" si="33"/>
        <v>328240086.83917779</v>
      </c>
      <c r="G69" s="114">
        <f t="shared" si="34"/>
        <v>467.08294717827829</v>
      </c>
      <c r="H69" s="66">
        <v>0</v>
      </c>
      <c r="I69" s="115">
        <f t="shared" si="35"/>
        <v>0</v>
      </c>
      <c r="J69" s="115">
        <v>0</v>
      </c>
      <c r="K69" s="115">
        <f t="shared" si="37"/>
        <v>0</v>
      </c>
      <c r="M69" s="123">
        <f t="shared" si="38"/>
        <v>0</v>
      </c>
      <c r="N69" s="112" t="b">
        <f t="shared" si="39"/>
        <v>0</v>
      </c>
    </row>
    <row r="70" spans="2:14" hidden="1" x14ac:dyDescent="0.25">
      <c r="B70" s="69" t="s">
        <v>12</v>
      </c>
      <c r="C70" s="116">
        <f t="shared" si="30"/>
        <v>306414.8560660301</v>
      </c>
      <c r="D70" s="116">
        <f t="shared" si="31"/>
        <v>126930889.12868679</v>
      </c>
      <c r="E70" s="116">
        <f t="shared" si="32"/>
        <v>414.24521891110311</v>
      </c>
      <c r="F70" s="116">
        <f t="shared" si="33"/>
        <v>103432423.54186539</v>
      </c>
      <c r="G70" s="116">
        <f t="shared" si="34"/>
        <v>337.55681715241798</v>
      </c>
      <c r="H70" s="116" t="e">
        <f>C70*#REF!</f>
        <v>#REF!</v>
      </c>
      <c r="I70" s="116" t="e">
        <f t="shared" si="35"/>
        <v>#REF!</v>
      </c>
      <c r="J70" s="116" t="e">
        <f t="shared" si="36"/>
        <v>#REF!</v>
      </c>
      <c r="K70" s="116" t="e">
        <f t="shared" si="37"/>
        <v>#REF!</v>
      </c>
      <c r="M70" s="123" t="e">
        <f t="shared" si="38"/>
        <v>#REF!</v>
      </c>
      <c r="N70" s="112" t="e">
        <f t="shared" si="39"/>
        <v>#REF!</v>
      </c>
    </row>
    <row r="71" spans="2:14" x14ac:dyDescent="0.25">
      <c r="B71" s="122"/>
    </row>
    <row r="72" spans="2:14" x14ac:dyDescent="0.25">
      <c r="B72" s="101" t="s">
        <v>133</v>
      </c>
      <c r="C72" s="40"/>
      <c r="D72" s="40"/>
      <c r="E72" s="40"/>
      <c r="F72" s="40"/>
      <c r="G72" s="40"/>
      <c r="H72" s="40"/>
      <c r="I72" s="40"/>
    </row>
    <row r="73" spans="2:14" x14ac:dyDescent="0.25">
      <c r="B73" s="101"/>
      <c r="C73" s="40"/>
      <c r="D73" s="40"/>
      <c r="E73" s="40"/>
      <c r="F73" s="40"/>
      <c r="G73" s="40"/>
      <c r="H73" s="40"/>
      <c r="I73" s="40"/>
    </row>
    <row r="74" spans="2:14" x14ac:dyDescent="0.25">
      <c r="B74" s="70" t="s">
        <v>73</v>
      </c>
      <c r="C74" s="109"/>
      <c r="D74" s="110"/>
      <c r="E74" s="110"/>
      <c r="F74" s="110"/>
      <c r="G74" s="110"/>
      <c r="H74" s="110"/>
      <c r="I74" s="111"/>
    </row>
    <row r="75" spans="2:14" x14ac:dyDescent="0.25">
      <c r="B75" s="185" t="s">
        <v>21</v>
      </c>
      <c r="C75" s="197" t="s">
        <v>74</v>
      </c>
      <c r="D75" s="190" t="s">
        <v>28</v>
      </c>
      <c r="E75" s="191"/>
      <c r="F75" s="190" t="s">
        <v>24</v>
      </c>
      <c r="G75" s="191"/>
      <c r="H75" s="192" t="s">
        <v>25</v>
      </c>
      <c r="I75" s="191"/>
    </row>
    <row r="76" spans="2:14" ht="30" x14ac:dyDescent="0.25">
      <c r="B76" s="196"/>
      <c r="C76" s="198"/>
      <c r="D76" s="149" t="s">
        <v>132</v>
      </c>
      <c r="E76" s="75" t="s">
        <v>23</v>
      </c>
      <c r="F76" s="149" t="s">
        <v>132</v>
      </c>
      <c r="G76" s="150" t="s">
        <v>23</v>
      </c>
      <c r="H76" s="149" t="s">
        <v>132</v>
      </c>
      <c r="I76" s="75" t="s">
        <v>23</v>
      </c>
    </row>
    <row r="77" spans="2:14" x14ac:dyDescent="0.25">
      <c r="B77" s="68" t="s">
        <v>20</v>
      </c>
      <c r="C77" s="113">
        <f>AVERAGE(Quantities!G16:M16)</f>
        <v>652351.92801013647</v>
      </c>
      <c r="D77" s="114">
        <f>F77+H77</f>
        <v>521582053.74648821</v>
      </c>
      <c r="E77" s="113">
        <f>D77/C77</f>
        <v>799.54090936385444</v>
      </c>
      <c r="F77" s="114">
        <f>SUM(Capex!G17:M17)</f>
        <v>365668249.6610257</v>
      </c>
      <c r="G77" s="114">
        <f>F77/C77</f>
        <v>560.53831369276463</v>
      </c>
      <c r="H77" s="113">
        <f>SUM(Opex!G37:M37)</f>
        <v>155913804.08546248</v>
      </c>
      <c r="I77" s="115">
        <f>H77/C77</f>
        <v>239.00259567108972</v>
      </c>
    </row>
    <row r="78" spans="2:14" x14ac:dyDescent="0.25">
      <c r="B78" s="68" t="s">
        <v>9</v>
      </c>
      <c r="C78" s="113">
        <f>AVERAGE(Quantities!G29:M29)</f>
        <v>721475.48821325111</v>
      </c>
      <c r="D78" s="114">
        <f t="shared" ref="D78:D81" si="40">F78+H78</f>
        <v>646455553.89245534</v>
      </c>
      <c r="E78" s="113">
        <f t="shared" ref="E78:E81" si="41">D78/C78</f>
        <v>896.0187344595945</v>
      </c>
      <c r="F78" s="114">
        <f>SUM(Capex!G29:M29)</f>
        <v>497585229.03972328</v>
      </c>
      <c r="G78" s="114">
        <f>F78/C78</f>
        <v>689.67724776347336</v>
      </c>
      <c r="H78" s="113">
        <f>SUM(Opex!G68:M68)</f>
        <v>148870324.852732</v>
      </c>
      <c r="I78" s="115">
        <f t="shared" ref="I78:I81" si="42">H78/C78</f>
        <v>206.34148669612105</v>
      </c>
    </row>
    <row r="79" spans="2:14" ht="15" customHeight="1" x14ac:dyDescent="0.25">
      <c r="B79" s="68" t="s">
        <v>11</v>
      </c>
      <c r="C79" s="113">
        <f>AVERAGE(Quantities!G39:M39)</f>
        <v>309537.26131775434</v>
      </c>
      <c r="D79" s="114">
        <f t="shared" si="40"/>
        <v>264622828.57435891</v>
      </c>
      <c r="E79" s="113">
        <f t="shared" si="41"/>
        <v>854.89813875012396</v>
      </c>
      <c r="F79" s="114">
        <f>SUM(Capex!G41:M41)</f>
        <v>190338671.69788769</v>
      </c>
      <c r="G79" s="114">
        <f t="shared" ref="G79:G81" si="43">F79/C79</f>
        <v>614.91360002211889</v>
      </c>
      <c r="H79" s="113">
        <f>SUM(Opex!G99:M99)</f>
        <v>74284156.876471221</v>
      </c>
      <c r="I79" s="115">
        <f t="shared" si="42"/>
        <v>239.98453872800499</v>
      </c>
    </row>
    <row r="80" spans="2:14" x14ac:dyDescent="0.25">
      <c r="B80" s="68" t="s">
        <v>10</v>
      </c>
      <c r="C80" s="113">
        <f>AVERAGE(Quantities!G51:M51)</f>
        <v>681735.33993050014</v>
      </c>
      <c r="D80" s="114">
        <f t="shared" si="40"/>
        <v>896521843.5119518</v>
      </c>
      <c r="E80" s="113">
        <f t="shared" si="41"/>
        <v>1315.058485310954</v>
      </c>
      <c r="F80" s="114">
        <f>SUM(Capex!G53:M53)</f>
        <v>616223144.34495032</v>
      </c>
      <c r="G80" s="114">
        <f t="shared" si="43"/>
        <v>903.9037706447366</v>
      </c>
      <c r="H80" s="113">
        <f>SUM(Opex!G130:M130)</f>
        <v>280298699.16700149</v>
      </c>
      <c r="I80" s="115">
        <f t="shared" si="42"/>
        <v>411.15471466621739</v>
      </c>
    </row>
    <row r="81" spans="2:13" x14ac:dyDescent="0.25">
      <c r="B81" s="69" t="s">
        <v>12</v>
      </c>
      <c r="C81" s="116">
        <f>AVERAGE(Quantities!G64:M64)</f>
        <v>313146.36580861441</v>
      </c>
      <c r="D81" s="116">
        <f t="shared" si="40"/>
        <v>342066365.28527594</v>
      </c>
      <c r="E81" s="116">
        <f t="shared" si="41"/>
        <v>1092.3529781416546</v>
      </c>
      <c r="F81" s="117">
        <f>SUM(Capex!G65:M65)</f>
        <v>224539458.68376118</v>
      </c>
      <c r="G81" s="116">
        <f t="shared" si="43"/>
        <v>717.04315681246931</v>
      </c>
      <c r="H81" s="116">
        <f>SUM(Opex!G161:M161)</f>
        <v>117526906.60151476</v>
      </c>
      <c r="I81" s="116">
        <f t="shared" si="42"/>
        <v>375.30982132918524</v>
      </c>
    </row>
    <row r="82" spans="2:13" x14ac:dyDescent="0.25">
      <c r="B82" s="122"/>
    </row>
    <row r="83" spans="2:13" x14ac:dyDescent="0.25">
      <c r="B83" s="119" t="s">
        <v>115</v>
      </c>
    </row>
    <row r="85" spans="2:13" x14ac:dyDescent="0.25">
      <c r="B85" s="70" t="s">
        <v>86</v>
      </c>
      <c r="C85" s="109"/>
      <c r="D85" s="110"/>
      <c r="E85" s="110"/>
      <c r="F85" s="110"/>
      <c r="G85" s="110"/>
      <c r="H85" s="110"/>
      <c r="I85" s="110"/>
      <c r="J85" s="110"/>
      <c r="K85" s="111"/>
    </row>
    <row r="86" spans="2:13" x14ac:dyDescent="0.25">
      <c r="B86" s="187" t="s">
        <v>21</v>
      </c>
      <c r="C86" s="199" t="s">
        <v>74</v>
      </c>
      <c r="D86" s="200" t="s">
        <v>3</v>
      </c>
      <c r="E86" s="195"/>
      <c r="F86" s="200" t="s">
        <v>4</v>
      </c>
      <c r="G86" s="195"/>
      <c r="H86" s="194" t="s">
        <v>5</v>
      </c>
      <c r="I86" s="195"/>
      <c r="J86" s="194" t="s">
        <v>119</v>
      </c>
      <c r="K86" s="195"/>
    </row>
    <row r="87" spans="2:13" ht="30" x14ac:dyDescent="0.25">
      <c r="B87" s="196"/>
      <c r="C87" s="198"/>
      <c r="D87" s="82" t="s">
        <v>75</v>
      </c>
      <c r="E87" s="75" t="s">
        <v>23</v>
      </c>
      <c r="F87" s="82" t="s">
        <v>76</v>
      </c>
      <c r="G87" s="76" t="s">
        <v>23</v>
      </c>
      <c r="H87" s="82" t="s">
        <v>76</v>
      </c>
      <c r="I87" s="75" t="s">
        <v>23</v>
      </c>
      <c r="J87" s="82" t="s">
        <v>85</v>
      </c>
      <c r="K87" s="75" t="s">
        <v>23</v>
      </c>
      <c r="M87" s="124"/>
    </row>
    <row r="88" spans="2:13" x14ac:dyDescent="0.25">
      <c r="B88" s="68" t="s">
        <v>20</v>
      </c>
      <c r="C88" s="113">
        <f>C9</f>
        <v>630175.63901270507</v>
      </c>
      <c r="D88" s="114">
        <f>SUM(Capex!D14:I14)</f>
        <v>106594165.79999989</v>
      </c>
      <c r="E88" s="113">
        <f>D88/C88</f>
        <v>169.14993090973934</v>
      </c>
      <c r="F88" s="114">
        <f>SUM(Capex!D15:I15)</f>
        <v>2276045.69</v>
      </c>
      <c r="G88" s="114">
        <f>F88/C88</f>
        <v>3.6117640052952162</v>
      </c>
      <c r="H88" s="113">
        <f>SUM(Capex!D16:I16)</f>
        <v>11018356.670000002</v>
      </c>
      <c r="I88" s="115">
        <f>H88/C88</f>
        <v>17.484580469125145</v>
      </c>
      <c r="J88" s="113">
        <f>D88+F88+H88</f>
        <v>119888568.15999989</v>
      </c>
      <c r="K88" s="115">
        <f>J88/C88</f>
        <v>190.24627538415967</v>
      </c>
      <c r="M88"/>
    </row>
    <row r="89" spans="2:13" x14ac:dyDescent="0.25">
      <c r="B89" s="68" t="s">
        <v>9</v>
      </c>
      <c r="C89" s="113">
        <f>C10</f>
        <v>672954.36374242452</v>
      </c>
      <c r="D89" s="114">
        <f>SUM(Capex!D26:I26)</f>
        <v>56499010.609999999</v>
      </c>
      <c r="E89" s="113">
        <f t="shared" ref="E89:E92" si="44">D89/C89</f>
        <v>83.956674707922957</v>
      </c>
      <c r="F89" s="114">
        <f>SUM(Capex!D27:I27)</f>
        <v>20444498.809999999</v>
      </c>
      <c r="G89" s="114">
        <f t="shared" ref="G89:G92" si="45">F89/C89</f>
        <v>30.380215823706578</v>
      </c>
      <c r="H89" s="113">
        <f>SUM(Capex!D28:I28)</f>
        <v>1504488.59</v>
      </c>
      <c r="I89" s="115">
        <f t="shared" ref="I89:I92" si="46">H89/C89</f>
        <v>2.2356472757428287</v>
      </c>
      <c r="J89" s="113">
        <f>D89+F89+H89</f>
        <v>78447998.010000005</v>
      </c>
      <c r="K89" s="115">
        <f t="shared" ref="K89:K92" si="47">J89/C89</f>
        <v>116.57253780737237</v>
      </c>
      <c r="M89"/>
    </row>
    <row r="90" spans="2:13" x14ac:dyDescent="0.25">
      <c r="B90" s="68" t="s">
        <v>11</v>
      </c>
      <c r="C90" s="113">
        <f>C11</f>
        <v>294304.32306941971</v>
      </c>
      <c r="D90" s="114">
        <f>SUM(Capex!D38:I38)</f>
        <v>31093855.969999999</v>
      </c>
      <c r="E90" s="113">
        <f t="shared" si="44"/>
        <v>105.65205310513113</v>
      </c>
      <c r="F90" s="114">
        <f>SUM(Capex!D39:I39)</f>
        <v>3026668.1799999997</v>
      </c>
      <c r="G90" s="114">
        <f t="shared" si="45"/>
        <v>10.284144481581663</v>
      </c>
      <c r="H90" s="113">
        <f>SUM(Capex!D40:I40)</f>
        <v>104760.36982629551</v>
      </c>
      <c r="I90" s="115">
        <f t="shared" si="46"/>
        <v>0.35595933057899704</v>
      </c>
      <c r="J90" s="113">
        <f t="shared" ref="J90:J92" si="48">D90+F90+H90</f>
        <v>34225284.519826293</v>
      </c>
      <c r="K90" s="115">
        <f t="shared" si="47"/>
        <v>116.29215691729178</v>
      </c>
      <c r="M90"/>
    </row>
    <row r="91" spans="2:13" x14ac:dyDescent="0.25">
      <c r="B91" s="68" t="s">
        <v>10</v>
      </c>
      <c r="C91" s="113">
        <f>C12</f>
        <v>717755.83603425475</v>
      </c>
      <c r="D91" s="114">
        <v>0</v>
      </c>
      <c r="E91" s="113">
        <f t="shared" si="44"/>
        <v>0</v>
      </c>
      <c r="F91" s="114">
        <f>SUM(Capex!D51:I51)</f>
        <v>18604785.609999999</v>
      </c>
      <c r="G91" s="114">
        <f t="shared" si="45"/>
        <v>25.920772323907777</v>
      </c>
      <c r="H91" s="113">
        <f>SUM(Capex!D52:I52)</f>
        <v>0</v>
      </c>
      <c r="I91" s="115">
        <f t="shared" si="46"/>
        <v>0</v>
      </c>
      <c r="J91" s="113">
        <f t="shared" si="48"/>
        <v>18604785.609999999</v>
      </c>
      <c r="K91" s="115">
        <f t="shared" si="47"/>
        <v>25.920772323907777</v>
      </c>
      <c r="M91"/>
    </row>
    <row r="92" spans="2:13" x14ac:dyDescent="0.25">
      <c r="B92" s="69" t="s">
        <v>12</v>
      </c>
      <c r="C92" s="116">
        <f>C13</f>
        <v>298234.76457383996</v>
      </c>
      <c r="D92" s="116">
        <f>SUM(Capex!D62:I62)</f>
        <v>31052730.057000004</v>
      </c>
      <c r="E92" s="116">
        <f t="shared" si="44"/>
        <v>104.12176495041595</v>
      </c>
      <c r="F92" s="117">
        <f>SUM(Capex!D63:I63)</f>
        <v>1671562.5005731687</v>
      </c>
      <c r="G92" s="117">
        <f t="shared" si="45"/>
        <v>5.6048546284056915</v>
      </c>
      <c r="H92" s="116">
        <f>SUM(Capex!D64:I64)</f>
        <v>57734674.21572838</v>
      </c>
      <c r="I92" s="118">
        <f t="shared" si="46"/>
        <v>193.58800875621543</v>
      </c>
      <c r="J92" s="116">
        <f t="shared" si="48"/>
        <v>90458966.773301557</v>
      </c>
      <c r="K92" s="116">
        <f t="shared" si="47"/>
        <v>303.31462833503713</v>
      </c>
      <c r="M92"/>
    </row>
    <row r="94" spans="2:13" x14ac:dyDescent="0.25">
      <c r="B94" s="119" t="s">
        <v>77</v>
      </c>
    </row>
    <row r="96" spans="2:13" x14ac:dyDescent="0.25">
      <c r="B96" s="70" t="s">
        <v>86</v>
      </c>
      <c r="C96" s="109"/>
      <c r="D96" s="110"/>
      <c r="E96" s="110"/>
      <c r="F96" s="110"/>
      <c r="G96" s="110"/>
      <c r="H96" s="110"/>
      <c r="I96" s="110"/>
      <c r="J96" s="110"/>
      <c r="K96" s="111"/>
    </row>
    <row r="97" spans="2:13" x14ac:dyDescent="0.25">
      <c r="B97" s="185" t="s">
        <v>21</v>
      </c>
      <c r="C97" s="197" t="s">
        <v>74</v>
      </c>
      <c r="D97" s="190" t="s">
        <v>3</v>
      </c>
      <c r="E97" s="191"/>
      <c r="F97" s="190" t="s">
        <v>4</v>
      </c>
      <c r="G97" s="191"/>
      <c r="H97" s="192" t="s">
        <v>5</v>
      </c>
      <c r="I97" s="191"/>
      <c r="J97" s="194" t="s">
        <v>119</v>
      </c>
      <c r="K97" s="195"/>
    </row>
    <row r="98" spans="2:13" ht="30" x14ac:dyDescent="0.25">
      <c r="B98" s="196"/>
      <c r="C98" s="198"/>
      <c r="D98" s="82" t="s">
        <v>79</v>
      </c>
      <c r="E98" s="75" t="s">
        <v>23</v>
      </c>
      <c r="F98" s="82" t="s">
        <v>79</v>
      </c>
      <c r="G98" s="76" t="s">
        <v>23</v>
      </c>
      <c r="H98" s="82" t="s">
        <v>79</v>
      </c>
      <c r="I98" s="75" t="s">
        <v>23</v>
      </c>
      <c r="J98" s="82" t="s">
        <v>79</v>
      </c>
      <c r="K98" s="75" t="s">
        <v>23</v>
      </c>
      <c r="M98" s="124"/>
    </row>
    <row r="99" spans="2:13" x14ac:dyDescent="0.25">
      <c r="B99" s="68" t="s">
        <v>20</v>
      </c>
      <c r="C99" s="113">
        <f>C20</f>
        <v>661437.39</v>
      </c>
      <c r="D99" s="114">
        <f>SUM(Capex!J14:M14)</f>
        <v>16884976.140000001</v>
      </c>
      <c r="E99" s="113">
        <f>D99/C99</f>
        <v>25.527701329372988</v>
      </c>
      <c r="F99" s="114">
        <f>SUM(Capex!J15:M15)</f>
        <v>5995071.6200000001</v>
      </c>
      <c r="G99" s="114">
        <f>F99/C99</f>
        <v>9.0637023407461133</v>
      </c>
      <c r="H99" s="113">
        <f>SUM(Capex!J16:M16)</f>
        <v>5142467.34</v>
      </c>
      <c r="I99" s="115">
        <f>H99/C99</f>
        <v>7.7746849781201508</v>
      </c>
      <c r="J99" s="113">
        <f>D99+F99+H99</f>
        <v>28022515.100000001</v>
      </c>
      <c r="K99" s="115">
        <f>J99/C99</f>
        <v>42.366088648239256</v>
      </c>
      <c r="M99"/>
    </row>
    <row r="100" spans="2:13" x14ac:dyDescent="0.25">
      <c r="B100" s="68" t="s">
        <v>9</v>
      </c>
      <c r="C100" s="113">
        <f>C21</f>
        <v>745716.09403628099</v>
      </c>
      <c r="D100" s="114">
        <f>SUM(Capex!J26:M26)</f>
        <v>25200879.609999999</v>
      </c>
      <c r="E100" s="113">
        <f t="shared" ref="E100:E103" si="49">D100/C100</f>
        <v>33.794201052570969</v>
      </c>
      <c r="F100" s="114">
        <f>SUM(Capex!J27:M27)</f>
        <v>22963559.198880892</v>
      </c>
      <c r="G100" s="114">
        <f t="shared" ref="G100:G103" si="50">F100/C100</f>
        <v>30.79397022878744</v>
      </c>
      <c r="H100" s="113">
        <f>SUM(Capex!J28:M28)</f>
        <v>212455.63</v>
      </c>
      <c r="I100" s="115">
        <f t="shared" ref="I100:I103" si="51">H100/C100</f>
        <v>0.28490149495105771</v>
      </c>
      <c r="J100" s="113">
        <f t="shared" ref="J100:J103" si="52">D100+F100+H100</f>
        <v>48376894.438880898</v>
      </c>
      <c r="K100" s="115">
        <f t="shared" ref="K100:K103" si="53">J100/C100</f>
        <v>64.873072776309471</v>
      </c>
      <c r="M100"/>
    </row>
    <row r="101" spans="2:13" x14ac:dyDescent="0.25">
      <c r="B101" s="68" t="s">
        <v>11</v>
      </c>
      <c r="C101" s="113">
        <f>C22</f>
        <v>315419.48007261823</v>
      </c>
      <c r="D101" s="114">
        <f>SUM(Capex!J38:M38)</f>
        <v>13885339.17446948</v>
      </c>
      <c r="E101" s="113">
        <f t="shared" si="49"/>
        <v>44.021818726201353</v>
      </c>
      <c r="F101" s="114">
        <f>SUM(Capex!J39:M39)</f>
        <v>7186321.247081846</v>
      </c>
      <c r="G101" s="114">
        <f t="shared" si="50"/>
        <v>22.783378012757353</v>
      </c>
      <c r="H101" s="113">
        <f>SUM(Capex!J40:M40)</f>
        <v>0</v>
      </c>
      <c r="I101" s="115">
        <f t="shared" si="51"/>
        <v>0</v>
      </c>
      <c r="J101" s="113">
        <f t="shared" si="52"/>
        <v>21071660.421551324</v>
      </c>
      <c r="K101" s="115">
        <f t="shared" si="53"/>
        <v>66.805196738958699</v>
      </c>
      <c r="M101"/>
    </row>
    <row r="102" spans="2:13" x14ac:dyDescent="0.25">
      <c r="B102" s="68" t="s">
        <v>10</v>
      </c>
      <c r="C102" s="113">
        <f>C23</f>
        <v>680228.10968250013</v>
      </c>
      <c r="D102" s="114">
        <f>SUM(Capex!J50:M50)</f>
        <v>95454006.625829339</v>
      </c>
      <c r="E102" s="113">
        <f t="shared" si="49"/>
        <v>140.32646588272127</v>
      </c>
      <c r="F102" s="114">
        <f>SUM(Capex!J51:M51)</f>
        <v>65251626.710000008</v>
      </c>
      <c r="G102" s="114">
        <f t="shared" si="50"/>
        <v>95.926095645263075</v>
      </c>
      <c r="H102" s="113">
        <f>SUM(Capex!J52:M52)</f>
        <v>0</v>
      </c>
      <c r="I102" s="115">
        <f t="shared" si="51"/>
        <v>0</v>
      </c>
      <c r="J102" s="113">
        <f t="shared" si="52"/>
        <v>160705633.33582935</v>
      </c>
      <c r="K102" s="115">
        <f t="shared" si="53"/>
        <v>236.25256152798434</v>
      </c>
      <c r="M102"/>
    </row>
    <row r="103" spans="2:13" x14ac:dyDescent="0.25">
      <c r="B103" s="69" t="s">
        <v>12</v>
      </c>
      <c r="C103" s="116">
        <f>C24</f>
        <v>318684.99330431526</v>
      </c>
      <c r="D103" s="116">
        <f>SUM(Capex!J62:M62)</f>
        <v>11056848.489800001</v>
      </c>
      <c r="E103" s="116">
        <f t="shared" si="49"/>
        <v>34.695227958982407</v>
      </c>
      <c r="F103" s="117">
        <f>SUM(Capex!J63:M63)</f>
        <v>6238191.7440852448</v>
      </c>
      <c r="G103" s="116">
        <f t="shared" si="50"/>
        <v>19.574789761525853</v>
      </c>
      <c r="H103" s="116">
        <f>SUM(Capex!J64:M64)</f>
        <v>3199705.3732875772</v>
      </c>
      <c r="I103" s="116">
        <f t="shared" si="51"/>
        <v>10.040339019767238</v>
      </c>
      <c r="J103" s="116">
        <f t="shared" si="52"/>
        <v>20494745.607172821</v>
      </c>
      <c r="K103" s="116">
        <f t="shared" si="53"/>
        <v>64.310356740275495</v>
      </c>
      <c r="M103"/>
    </row>
    <row r="104" spans="2:13" x14ac:dyDescent="0.25">
      <c r="B104" s="101"/>
      <c r="C104" s="40"/>
      <c r="D104" s="40"/>
      <c r="E104" s="40"/>
      <c r="F104" s="40"/>
      <c r="G104" s="40"/>
      <c r="H104" s="40"/>
      <c r="I104" s="40"/>
    </row>
    <row r="105" spans="2:13" x14ac:dyDescent="0.25">
      <c r="B105" s="101" t="s">
        <v>81</v>
      </c>
      <c r="C105" s="40"/>
      <c r="D105" s="40"/>
      <c r="E105" s="40"/>
      <c r="F105" s="40"/>
      <c r="G105" s="40"/>
      <c r="H105" s="40"/>
      <c r="I105" s="40"/>
    </row>
    <row r="106" spans="2:13" x14ac:dyDescent="0.25">
      <c r="B106" s="101"/>
      <c r="C106" s="40"/>
      <c r="D106" s="40"/>
      <c r="E106" s="40"/>
      <c r="F106" s="40"/>
      <c r="G106" s="40"/>
      <c r="H106" s="40"/>
      <c r="I106" s="40"/>
    </row>
    <row r="107" spans="2:13" x14ac:dyDescent="0.25">
      <c r="B107" s="70" t="s">
        <v>86</v>
      </c>
      <c r="C107" s="109"/>
      <c r="D107" s="110"/>
      <c r="E107" s="110"/>
      <c r="F107" s="110"/>
      <c r="G107" s="110"/>
      <c r="H107" s="110"/>
      <c r="I107" s="110"/>
      <c r="J107" s="110"/>
      <c r="K107" s="111"/>
    </row>
    <row r="108" spans="2:13" x14ac:dyDescent="0.25">
      <c r="B108" s="185" t="s">
        <v>21</v>
      </c>
      <c r="C108" s="197" t="s">
        <v>74</v>
      </c>
      <c r="D108" s="190" t="s">
        <v>3</v>
      </c>
      <c r="E108" s="191"/>
      <c r="F108" s="190" t="s">
        <v>4</v>
      </c>
      <c r="G108" s="191"/>
      <c r="H108" s="192" t="s">
        <v>5</v>
      </c>
      <c r="I108" s="191"/>
      <c r="J108" s="194" t="s">
        <v>119</v>
      </c>
      <c r="K108" s="195"/>
    </row>
    <row r="109" spans="2:13" ht="30" x14ac:dyDescent="0.25">
      <c r="B109" s="196"/>
      <c r="C109" s="198"/>
      <c r="D109" s="82" t="s">
        <v>82</v>
      </c>
      <c r="E109" s="75" t="s">
        <v>23</v>
      </c>
      <c r="F109" s="82" t="s">
        <v>82</v>
      </c>
      <c r="G109" s="76" t="s">
        <v>23</v>
      </c>
      <c r="H109" s="82" t="s">
        <v>82</v>
      </c>
      <c r="I109" s="75" t="s">
        <v>23</v>
      </c>
      <c r="J109" s="82" t="s">
        <v>85</v>
      </c>
      <c r="K109" s="75" t="s">
        <v>23</v>
      </c>
      <c r="M109" s="124"/>
    </row>
    <row r="110" spans="2:13" x14ac:dyDescent="0.25">
      <c r="B110" s="68" t="s">
        <v>20</v>
      </c>
      <c r="C110" s="113">
        <f>C31</f>
        <v>642680.33940762305</v>
      </c>
      <c r="D110" s="114">
        <f>D88+D99</f>
        <v>123479141.93999989</v>
      </c>
      <c r="E110" s="113">
        <f>D110/C110</f>
        <v>192.13150670489495</v>
      </c>
      <c r="F110" s="114">
        <f>F88+F99</f>
        <v>8271117.3100000005</v>
      </c>
      <c r="G110" s="114">
        <f>F110/C110</f>
        <v>12.869722010826917</v>
      </c>
      <c r="H110" s="113">
        <f>H88+H99</f>
        <v>16160824.010000002</v>
      </c>
      <c r="I110" s="115">
        <f>H110/C110</f>
        <v>25.145975408079074</v>
      </c>
      <c r="J110" s="113">
        <f>J88+J99</f>
        <v>147911083.2599999</v>
      </c>
      <c r="K110" s="115">
        <f>J110/C110</f>
        <v>230.14720412380095</v>
      </c>
      <c r="M110"/>
    </row>
    <row r="111" spans="2:13" x14ac:dyDescent="0.25">
      <c r="B111" s="68" t="s">
        <v>9</v>
      </c>
      <c r="C111" s="113">
        <f>C32</f>
        <v>702059.05585996702</v>
      </c>
      <c r="D111" s="114">
        <f t="shared" ref="D111:D114" si="54">D89+D100</f>
        <v>81699890.219999999</v>
      </c>
      <c r="E111" s="113">
        <f t="shared" ref="E111:E114" si="55">D111/C111</f>
        <v>116.37182020239604</v>
      </c>
      <c r="F111" s="114">
        <f t="shared" ref="F111:F114" si="56">F89+F100</f>
        <v>43408058.008880891</v>
      </c>
      <c r="G111" s="114">
        <f>F111/C111</f>
        <v>61.829639040421519</v>
      </c>
      <c r="H111" s="113">
        <f t="shared" ref="H111:H114" si="57">H89+H100</f>
        <v>1716944.2200000002</v>
      </c>
      <c r="I111" s="115">
        <f t="shared" ref="I111:I114" si="58">H111/C111</f>
        <v>2.4455837520632491</v>
      </c>
      <c r="J111" s="113">
        <f t="shared" ref="J111:J114" si="59">J89+J100</f>
        <v>126824892.44888091</v>
      </c>
      <c r="K111" s="115">
        <f t="shared" ref="K111:K114" si="60">J111/C111</f>
        <v>180.64704299488085</v>
      </c>
      <c r="M111"/>
    </row>
    <row r="112" spans="2:13" x14ac:dyDescent="0.25">
      <c r="B112" s="68" t="s">
        <v>11</v>
      </c>
      <c r="C112" s="113">
        <f>C33</f>
        <v>302750.38587069913</v>
      </c>
      <c r="D112" s="114">
        <f t="shared" si="54"/>
        <v>44979195.144469477</v>
      </c>
      <c r="E112" s="113">
        <f t="shared" si="55"/>
        <v>148.56858073066016</v>
      </c>
      <c r="F112" s="114">
        <f t="shared" si="56"/>
        <v>10212989.427081846</v>
      </c>
      <c r="G112" s="114">
        <f t="shared" ref="G112:G114" si="61">F112/C112</f>
        <v>33.734026127529646</v>
      </c>
      <c r="H112" s="113">
        <f t="shared" si="57"/>
        <v>104760.36982629551</v>
      </c>
      <c r="I112" s="115">
        <f t="shared" si="58"/>
        <v>0.34602885649512383</v>
      </c>
      <c r="J112" s="113">
        <f t="shared" si="59"/>
        <v>55296944.941377617</v>
      </c>
      <c r="K112" s="115">
        <f t="shared" si="60"/>
        <v>182.64863571468493</v>
      </c>
      <c r="M112"/>
    </row>
    <row r="113" spans="2:13" x14ac:dyDescent="0.25">
      <c r="B113" s="68" t="s">
        <v>10</v>
      </c>
      <c r="C113" s="113">
        <f>C34</f>
        <v>702744.74549355288</v>
      </c>
      <c r="D113" s="114">
        <f t="shared" si="54"/>
        <v>95454006.625829339</v>
      </c>
      <c r="E113" s="113">
        <f t="shared" si="55"/>
        <v>135.83026730251811</v>
      </c>
      <c r="F113" s="114">
        <f t="shared" si="56"/>
        <v>83856412.320000008</v>
      </c>
      <c r="G113" s="114">
        <f t="shared" si="61"/>
        <v>119.32698587608198</v>
      </c>
      <c r="H113" s="113">
        <f t="shared" si="57"/>
        <v>0</v>
      </c>
      <c r="I113" s="115">
        <f t="shared" si="58"/>
        <v>0</v>
      </c>
      <c r="J113" s="113">
        <f t="shared" si="59"/>
        <v>179310418.94582933</v>
      </c>
      <c r="K113" s="115">
        <f t="shared" si="60"/>
        <v>255.15725317860006</v>
      </c>
      <c r="M113"/>
    </row>
    <row r="114" spans="2:13" x14ac:dyDescent="0.25">
      <c r="B114" s="69" t="s">
        <v>12</v>
      </c>
      <c r="C114" s="116">
        <f>C35</f>
        <v>306414.8560660301</v>
      </c>
      <c r="D114" s="117">
        <f t="shared" si="54"/>
        <v>42109578.546800002</v>
      </c>
      <c r="E114" s="116">
        <f t="shared" si="55"/>
        <v>137.42668709811414</v>
      </c>
      <c r="F114" s="117">
        <f t="shared" si="56"/>
        <v>7909754.2446584133</v>
      </c>
      <c r="G114" s="116">
        <f t="shared" si="61"/>
        <v>25.81387321166282</v>
      </c>
      <c r="H114" s="116">
        <f t="shared" si="57"/>
        <v>60934379.589015961</v>
      </c>
      <c r="I114" s="116">
        <f t="shared" si="58"/>
        <v>198.86235403640174</v>
      </c>
      <c r="J114" s="116">
        <f t="shared" si="59"/>
        <v>110953712.38047437</v>
      </c>
      <c r="K114" s="116">
        <f t="shared" si="60"/>
        <v>362.10291434617869</v>
      </c>
      <c r="M114"/>
    </row>
    <row r="115" spans="2:13" x14ac:dyDescent="0.25">
      <c r="B115" s="101"/>
      <c r="C115" s="40"/>
      <c r="D115" s="40"/>
      <c r="E115" s="40"/>
      <c r="F115" s="40"/>
      <c r="G115" s="40"/>
      <c r="H115" s="40"/>
      <c r="I115" s="40"/>
    </row>
  </sheetData>
  <mergeCells count="56">
    <mergeCell ref="B7:B8"/>
    <mergeCell ref="C7:C8"/>
    <mergeCell ref="D7:E7"/>
    <mergeCell ref="F7:G7"/>
    <mergeCell ref="H7:I7"/>
    <mergeCell ref="B29:B30"/>
    <mergeCell ref="C29:C30"/>
    <mergeCell ref="D29:E29"/>
    <mergeCell ref="F29:G29"/>
    <mergeCell ref="H29:I29"/>
    <mergeCell ref="B18:B19"/>
    <mergeCell ref="C18:C19"/>
    <mergeCell ref="D18:E18"/>
    <mergeCell ref="F18:G18"/>
    <mergeCell ref="H18:I18"/>
    <mergeCell ref="J53:K53"/>
    <mergeCell ref="B42:B43"/>
    <mergeCell ref="C42:C43"/>
    <mergeCell ref="D42:E42"/>
    <mergeCell ref="F42:G42"/>
    <mergeCell ref="H42:I42"/>
    <mergeCell ref="J42:K42"/>
    <mergeCell ref="B53:B54"/>
    <mergeCell ref="C53:C54"/>
    <mergeCell ref="D53:E53"/>
    <mergeCell ref="F53:G53"/>
    <mergeCell ref="H53:I53"/>
    <mergeCell ref="J64:K64"/>
    <mergeCell ref="B86:B87"/>
    <mergeCell ref="C86:C87"/>
    <mergeCell ref="D86:E86"/>
    <mergeCell ref="F86:G86"/>
    <mergeCell ref="H86:I86"/>
    <mergeCell ref="B75:B76"/>
    <mergeCell ref="C75:C76"/>
    <mergeCell ref="D75:E75"/>
    <mergeCell ref="F75:G75"/>
    <mergeCell ref="B64:B65"/>
    <mergeCell ref="C64:C65"/>
    <mergeCell ref="D64:E64"/>
    <mergeCell ref="F64:G64"/>
    <mergeCell ref="H64:I64"/>
    <mergeCell ref="H75:I75"/>
    <mergeCell ref="J86:K86"/>
    <mergeCell ref="J108:K108"/>
    <mergeCell ref="B97:B98"/>
    <mergeCell ref="C97:C98"/>
    <mergeCell ref="D97:E97"/>
    <mergeCell ref="F97:G97"/>
    <mergeCell ref="H97:I97"/>
    <mergeCell ref="J97:K97"/>
    <mergeCell ref="B108:B109"/>
    <mergeCell ref="C108:C109"/>
    <mergeCell ref="D108:E108"/>
    <mergeCell ref="F108:G108"/>
    <mergeCell ref="H108:I108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81"/>
  <sheetViews>
    <sheetView zoomScale="85" zoomScaleNormal="85" workbookViewId="0">
      <pane ySplit="7" topLeftCell="A35" activePane="bottomLeft" state="frozen"/>
      <selection pane="bottomLeft" activeCell="M59" sqref="M59:M64"/>
    </sheetView>
  </sheetViews>
  <sheetFormatPr defaultRowHeight="15" x14ac:dyDescent="0.25"/>
  <cols>
    <col min="1" max="1" width="15.5703125" style="5" customWidth="1"/>
    <col min="2" max="2" width="52.42578125" style="2" bestFit="1" customWidth="1"/>
    <col min="3" max="3" width="21.140625" style="2" customWidth="1"/>
    <col min="4" max="13" width="13.5703125" style="2" customWidth="1"/>
    <col min="14" max="14" width="14.28515625" style="1" bestFit="1" customWidth="1"/>
    <col min="15" max="15" width="17.5703125" style="2" customWidth="1"/>
    <col min="16" max="16" width="16.85546875" style="2" bestFit="1" customWidth="1"/>
    <col min="17" max="16384" width="9.140625" style="2"/>
  </cols>
  <sheetData>
    <row r="1" spans="1:16" x14ac:dyDescent="0.25">
      <c r="A1" s="4"/>
      <c r="C1" s="6"/>
    </row>
    <row r="2" spans="1:16" x14ac:dyDescent="0.25">
      <c r="C2" s="6"/>
      <c r="E2" s="30">
        <f>'[1]Economic Assum'!E4</f>
        <v>2007</v>
      </c>
      <c r="F2" s="30">
        <f>'[1]Economic Assum'!F4</f>
        <v>2008</v>
      </c>
      <c r="G2" s="30">
        <f>'[1]Economic Assum'!G4</f>
        <v>2009</v>
      </c>
      <c r="H2" s="30">
        <f>'[1]Economic Assum'!H4</f>
        <v>2010</v>
      </c>
      <c r="I2" s="30">
        <f>'[1]Economic Assum'!I4</f>
        <v>2011</v>
      </c>
      <c r="J2" s="30">
        <f>'[1]Economic Assum'!J4</f>
        <v>2012</v>
      </c>
      <c r="K2" s="30">
        <f>'[1]Economic Assum'!K4</f>
        <v>2013</v>
      </c>
      <c r="L2" s="30">
        <f>'[1]Economic Assum'!L4</f>
        <v>2014</v>
      </c>
      <c r="M2" s="30">
        <f>'[1]Economic Assum'!M4</f>
        <v>2015</v>
      </c>
    </row>
    <row r="3" spans="1:16" x14ac:dyDescent="0.25">
      <c r="B3" s="6" t="str">
        <f>'[1]Economic Assum'!B6</f>
        <v>CPI</v>
      </c>
      <c r="C3" s="6"/>
      <c r="D3" s="6"/>
      <c r="E3" s="31">
        <f>'[1]Economic Assum'!E6</f>
        <v>3.9385847797062556E-2</v>
      </c>
      <c r="F3" s="31">
        <f>'[1]Economic Assum'!F6</f>
        <v>1.862556197816323E-2</v>
      </c>
      <c r="G3" s="31">
        <f>'[2]Data 2009-15 (Real $2008)'!D144</f>
        <v>4.9810844892812067E-2</v>
      </c>
      <c r="H3" s="31">
        <f>'[2]Data 2009-15 (Real $2008)'!E144</f>
        <v>1.2612612612612484E-2</v>
      </c>
      <c r="I3" s="31">
        <f>'[2]Data 2009-15 (Real $2008)'!F144</f>
        <v>2.7876631079478242E-2</v>
      </c>
      <c r="J3" s="31">
        <f>'[2]Data 2009-15 (Real $2008)'!G144</f>
        <v>3.5199076745527913E-2</v>
      </c>
      <c r="K3" s="31">
        <f>'[2]Data 2009-15 (Real $2008)'!H144</f>
        <v>2.0040080160320661E-2</v>
      </c>
      <c r="L3" s="31">
        <f>'[2]Data 2009-15 (Real $2008)'!I144</f>
        <v>2.47E-2</v>
      </c>
      <c r="M3" s="31">
        <f>'[2]Data 2009-15 (Real $2008)'!J144</f>
        <v>2.47E-2</v>
      </c>
      <c r="N3" s="31"/>
      <c r="O3" s="12"/>
    </row>
    <row r="4" spans="1:16" x14ac:dyDescent="0.25">
      <c r="B4" s="2" t="s">
        <v>19</v>
      </c>
      <c r="D4" s="37"/>
      <c r="E4" s="29">
        <f>F4/(1+F3)</f>
        <v>0.98171500630517017</v>
      </c>
      <c r="F4" s="29">
        <v>1</v>
      </c>
      <c r="G4" s="29">
        <f>F4*(1+G3)</f>
        <v>1.0498108448928121</v>
      </c>
      <c r="H4" s="29">
        <f t="shared" ref="H4:M4" si="0">G4*(1+H3)</f>
        <v>1.0630517023959645</v>
      </c>
      <c r="I4" s="29">
        <f t="shared" si="0"/>
        <v>1.0926860025220682</v>
      </c>
      <c r="J4" s="29">
        <f t="shared" si="0"/>
        <v>1.1311475409836065</v>
      </c>
      <c r="K4" s="29">
        <f t="shared" si="0"/>
        <v>1.1538158283780675</v>
      </c>
      <c r="L4" s="29">
        <f t="shared" si="0"/>
        <v>1.1823150793390058</v>
      </c>
      <c r="M4" s="29">
        <f t="shared" si="0"/>
        <v>1.2115182617986793</v>
      </c>
      <c r="O4" s="12"/>
    </row>
    <row r="5" spans="1:16" x14ac:dyDescent="0.25">
      <c r="B5" s="6" t="s">
        <v>93</v>
      </c>
      <c r="C5" s="6"/>
      <c r="F5" s="32"/>
      <c r="G5" s="32"/>
      <c r="H5" s="32"/>
      <c r="I5" s="32"/>
      <c r="J5" s="32"/>
      <c r="K5" s="29">
        <v>1</v>
      </c>
      <c r="L5" s="29">
        <f>K5*(1+L3)</f>
        <v>1.0246999999999999</v>
      </c>
      <c r="M5" s="29">
        <f>L5*(1+M3)</f>
        <v>1.0500100899999998</v>
      </c>
      <c r="O5" s="12"/>
    </row>
    <row r="6" spans="1:16" x14ac:dyDescent="0.25">
      <c r="B6" s="5"/>
      <c r="C6" s="5"/>
      <c r="G6" s="32"/>
      <c r="H6" s="32"/>
      <c r="I6" s="32"/>
      <c r="K6" s="100"/>
      <c r="L6" s="201"/>
      <c r="M6" s="201"/>
      <c r="O6" s="25"/>
    </row>
    <row r="7" spans="1:16" s="8" customFormat="1" x14ac:dyDescent="0.25">
      <c r="A7" s="7" t="s">
        <v>7</v>
      </c>
      <c r="D7" s="8">
        <v>2006</v>
      </c>
      <c r="E7" s="8">
        <f>D7+1</f>
        <v>2007</v>
      </c>
      <c r="F7" s="8">
        <f t="shared" ref="F7:M7" si="1">E7+1</f>
        <v>2008</v>
      </c>
      <c r="G7" s="8">
        <f t="shared" si="1"/>
        <v>2009</v>
      </c>
      <c r="H7" s="8">
        <f t="shared" si="1"/>
        <v>2010</v>
      </c>
      <c r="I7" s="8">
        <f t="shared" si="1"/>
        <v>2011</v>
      </c>
      <c r="J7" s="8">
        <f t="shared" si="1"/>
        <v>2012</v>
      </c>
      <c r="K7" s="8">
        <f t="shared" si="1"/>
        <v>2013</v>
      </c>
      <c r="L7" s="8">
        <f t="shared" si="1"/>
        <v>2014</v>
      </c>
      <c r="M7" s="8">
        <f t="shared" si="1"/>
        <v>2015</v>
      </c>
      <c r="N7" s="9" t="s">
        <v>6</v>
      </c>
      <c r="O7" s="26"/>
    </row>
    <row r="8" spans="1:16" x14ac:dyDescent="0.25">
      <c r="A8" s="10" t="s">
        <v>8</v>
      </c>
    </row>
    <row r="9" spans="1:16" x14ac:dyDescent="0.25">
      <c r="A9" s="10"/>
      <c r="B9" s="5" t="s">
        <v>13</v>
      </c>
      <c r="C9" s="5"/>
    </row>
    <row r="10" spans="1:16" x14ac:dyDescent="0.25">
      <c r="A10" s="10"/>
      <c r="B10" s="11" t="s">
        <v>2</v>
      </c>
      <c r="C10" s="11"/>
      <c r="D10" s="174">
        <f>'[2]Data 2006-08'!D84</f>
        <v>0</v>
      </c>
      <c r="E10" s="174">
        <f>'[2]Data 2006-08'!E84</f>
        <v>0</v>
      </c>
      <c r="F10" s="174">
        <f>'[2]Data 2006-08'!F84</f>
        <v>0</v>
      </c>
      <c r="G10" s="1"/>
      <c r="H10" s="1"/>
      <c r="I10" s="1"/>
      <c r="J10" s="1"/>
      <c r="K10" s="1"/>
      <c r="L10" s="1"/>
      <c r="M10" s="1"/>
      <c r="N10" s="1">
        <f>SUM(D10:M10)</f>
        <v>0</v>
      </c>
    </row>
    <row r="11" spans="1:16" x14ac:dyDescent="0.25">
      <c r="A11" s="10"/>
      <c r="B11" s="11" t="s">
        <v>0</v>
      </c>
      <c r="C11" s="11"/>
      <c r="D11" s="174">
        <v>3616000</v>
      </c>
      <c r="E11" s="174">
        <v>4994000</v>
      </c>
      <c r="F11" s="174">
        <v>4165444.1207702192</v>
      </c>
      <c r="G11" s="1">
        <f>'[2]Data 2009-11'!D10</f>
        <v>3869552.5300000003</v>
      </c>
      <c r="H11" s="1">
        <f>'[2]Data 2009-11'!E10</f>
        <v>3588444</v>
      </c>
      <c r="I11" s="1">
        <f>'[2]Data 2009-11'!F10</f>
        <v>4015842.4699999997</v>
      </c>
      <c r="J11" s="1">
        <f>'[7]DNSP Data Inputs 2012-15'!G10</f>
        <v>829899.98999999976</v>
      </c>
      <c r="K11" s="174">
        <f>'[7]DNSP Data Inputs 2012-15'!H10</f>
        <v>0</v>
      </c>
      <c r="L11" s="174">
        <f>'[7]DNSP Data Inputs 2012-15'!I10</f>
        <v>0</v>
      </c>
      <c r="M11" s="174">
        <f>'[7]DNSP Data Inputs 2012-15'!J10</f>
        <v>0</v>
      </c>
      <c r="N11" s="1">
        <f t="shared" ref="N11:N16" si="2">SUM(D11:M11)</f>
        <v>25079183.110770218</v>
      </c>
      <c r="O11" s="132">
        <f>AVERAGE(Quantities!D16:M16)</f>
        <v>642680.33940762305</v>
      </c>
      <c r="P11" s="151">
        <f>N11/O11</f>
        <v>39.022794961934608</v>
      </c>
    </row>
    <row r="12" spans="1:16" x14ac:dyDescent="0.25">
      <c r="A12" s="10"/>
      <c r="B12" s="11" t="s">
        <v>1</v>
      </c>
      <c r="C12" s="11"/>
      <c r="D12" s="174">
        <v>0</v>
      </c>
      <c r="E12" s="174">
        <v>0</v>
      </c>
      <c r="F12" s="174">
        <v>0</v>
      </c>
      <c r="G12" s="1">
        <f>'[2]Data 2009-11'!D11</f>
        <v>0</v>
      </c>
      <c r="H12" s="1">
        <f>'[2]Data 2009-11'!E11</f>
        <v>0</v>
      </c>
      <c r="I12" s="1">
        <f>'[2]Data 2009-11'!F11</f>
        <v>1767573.8999999987</v>
      </c>
      <c r="J12" s="1">
        <f>'[7]DNSP Data Inputs 2012-15'!G11</f>
        <v>1293502.99</v>
      </c>
      <c r="K12" s="174">
        <f>'[7]DNSP Data Inputs 2012-15'!H11</f>
        <v>0</v>
      </c>
      <c r="L12" s="174">
        <f>'[7]DNSP Data Inputs 2012-15'!I11</f>
        <v>0</v>
      </c>
      <c r="M12" s="174">
        <f>'[7]DNSP Data Inputs 2012-15'!J11</f>
        <v>0</v>
      </c>
      <c r="N12" s="1">
        <f t="shared" si="2"/>
        <v>3061076.8899999987</v>
      </c>
      <c r="O12" s="98">
        <f>O11</f>
        <v>642680.33940762305</v>
      </c>
      <c r="P12" s="151">
        <f t="shared" ref="P12:P17" si="3">N12/O12</f>
        <v>4.7629851145306255</v>
      </c>
    </row>
    <row r="13" spans="1:16" x14ac:dyDescent="0.25">
      <c r="A13" s="10"/>
      <c r="B13" s="11" t="s">
        <v>2</v>
      </c>
      <c r="C13" s="11"/>
      <c r="D13" s="174">
        <v>2192000</v>
      </c>
      <c r="E13" s="174">
        <v>788000</v>
      </c>
      <c r="F13" s="174">
        <v>468000</v>
      </c>
      <c r="G13" s="1">
        <f>'[2]Data 2009-11'!D12</f>
        <v>6412353.8598686606</v>
      </c>
      <c r="H13" s="1">
        <f>'[2]Data 2009-11'!E12</f>
        <v>20654799</v>
      </c>
      <c r="I13" s="1">
        <f>'[2]Data 2009-11'!F12</f>
        <v>42573902.870000102</v>
      </c>
      <c r="J13" s="1">
        <f>'[7]DNSP Data Inputs 2012-15'!G12</f>
        <v>49728099.620000005</v>
      </c>
      <c r="K13" s="174">
        <f>61786401.79-6000000</f>
        <v>55786401.789999999</v>
      </c>
      <c r="L13" s="174">
        <v>24549682</v>
      </c>
      <c r="M13" s="174">
        <v>3238111.3811570602</v>
      </c>
      <c r="N13" s="1">
        <f t="shared" si="2"/>
        <v>206391350.52102584</v>
      </c>
      <c r="O13" s="98">
        <f t="shared" ref="O13:O17" si="4">O12</f>
        <v>642680.33940762305</v>
      </c>
      <c r="P13" s="151">
        <f t="shared" si="3"/>
        <v>321.14153470333741</v>
      </c>
    </row>
    <row r="14" spans="1:16" x14ac:dyDescent="0.25">
      <c r="A14" s="10"/>
      <c r="B14" s="11" t="s">
        <v>3</v>
      </c>
      <c r="C14" s="11"/>
      <c r="D14" s="174">
        <v>551000</v>
      </c>
      <c r="E14" s="174">
        <v>0</v>
      </c>
      <c r="F14" s="174">
        <v>0</v>
      </c>
      <c r="G14" s="1">
        <f>'[2]Data 2009-11'!D13</f>
        <v>63237884.079999901</v>
      </c>
      <c r="H14" s="1">
        <f>'[2]Data 2009-11'!E13</f>
        <v>34423246</v>
      </c>
      <c r="I14" s="1">
        <f>'[2]Data 2009-11'!F13</f>
        <v>8382035.7199999997</v>
      </c>
      <c r="J14" s="1">
        <f>'[7]DNSP Data Inputs 2012-15'!G13</f>
        <v>7974074.9500000011</v>
      </c>
      <c r="K14" s="174">
        <v>1748571.27</v>
      </c>
      <c r="L14" s="174">
        <v>1078313</v>
      </c>
      <c r="M14" s="174">
        <v>6084016.9199999999</v>
      </c>
      <c r="N14" s="1">
        <f t="shared" si="2"/>
        <v>123479141.93999989</v>
      </c>
      <c r="O14" s="98">
        <f t="shared" si="4"/>
        <v>642680.33940762305</v>
      </c>
      <c r="P14" s="151">
        <f t="shared" si="3"/>
        <v>192.13150670489495</v>
      </c>
    </row>
    <row r="15" spans="1:16" x14ac:dyDescent="0.25">
      <c r="A15" s="10"/>
      <c r="B15" s="11" t="s">
        <v>4</v>
      </c>
      <c r="C15" s="11"/>
      <c r="D15" s="174">
        <f>'[2]Data 2006-08'!D86</f>
        <v>0</v>
      </c>
      <c r="E15" s="174">
        <f>'[2]Data 2006-08'!E86</f>
        <v>0</v>
      </c>
      <c r="F15" s="174">
        <f>'[2]Data 2006-08'!F86</f>
        <v>0</v>
      </c>
      <c r="G15" s="1">
        <f>'[2]Data 2009-11'!D14</f>
        <v>0</v>
      </c>
      <c r="H15" s="1">
        <f>'[2]Data 2009-11'!E14</f>
        <v>0</v>
      </c>
      <c r="I15" s="1">
        <f>'[2]Data 2009-11'!F14</f>
        <v>2276045.69</v>
      </c>
      <c r="J15" s="1">
        <f>'[7]DNSP Data Inputs 2012-15'!G14</f>
        <v>418838.68000000005</v>
      </c>
      <c r="K15" s="174">
        <v>1055372.2</v>
      </c>
      <c r="L15" s="174">
        <v>4041916</v>
      </c>
      <c r="M15" s="174">
        <v>478944.74</v>
      </c>
      <c r="N15" s="1">
        <f t="shared" si="2"/>
        <v>8271117.3100000005</v>
      </c>
      <c r="O15" s="98">
        <f t="shared" si="4"/>
        <v>642680.33940762305</v>
      </c>
      <c r="P15" s="151">
        <f t="shared" si="3"/>
        <v>12.869722010826917</v>
      </c>
    </row>
    <row r="16" spans="1:16" x14ac:dyDescent="0.25">
      <c r="A16" s="10"/>
      <c r="B16" s="11" t="s">
        <v>5</v>
      </c>
      <c r="C16" s="11"/>
      <c r="D16" s="174">
        <f>'[2]Data 2006-08'!D87</f>
        <v>0</v>
      </c>
      <c r="E16" s="174">
        <v>0</v>
      </c>
      <c r="F16" s="174">
        <v>0</v>
      </c>
      <c r="G16" s="1">
        <f>'[2]Data 2009-11'!D15</f>
        <v>100958.88</v>
      </c>
      <c r="H16" s="1">
        <f>'[2]Data 2009-11'!E15</f>
        <v>367167</v>
      </c>
      <c r="I16" s="1">
        <f>'[2]Data 2009-11'!F15</f>
        <v>10550230.790000001</v>
      </c>
      <c r="J16" s="1">
        <f>'[7]DNSP Data Inputs 2012-15'!G15</f>
        <v>2706937.7899999996</v>
      </c>
      <c r="K16" s="174">
        <f>7135529.55-4700000</f>
        <v>2435529.5499999998</v>
      </c>
      <c r="L16" s="174">
        <v>0</v>
      </c>
      <c r="M16" s="174">
        <v>0</v>
      </c>
      <c r="N16" s="1">
        <f t="shared" si="2"/>
        <v>16160824.010000002</v>
      </c>
      <c r="O16" s="98">
        <f t="shared" si="4"/>
        <v>642680.33940762305</v>
      </c>
      <c r="P16" s="151">
        <f t="shared" si="3"/>
        <v>25.145975408079074</v>
      </c>
    </row>
    <row r="17" spans="1:19" x14ac:dyDescent="0.25">
      <c r="A17" s="10"/>
      <c r="B17" s="97" t="s">
        <v>6</v>
      </c>
      <c r="C17" s="97"/>
      <c r="D17" s="10">
        <f>SUM(D10:D16)</f>
        <v>6359000</v>
      </c>
      <c r="E17" s="10">
        <f t="shared" ref="E17:N17" si="5">SUM(E10:E16)</f>
        <v>5782000</v>
      </c>
      <c r="F17" s="10">
        <f t="shared" si="5"/>
        <v>4633444.1207702197</v>
      </c>
      <c r="G17" s="10">
        <f t="shared" si="5"/>
        <v>73620749.349868566</v>
      </c>
      <c r="H17" s="10">
        <f t="shared" si="5"/>
        <v>59033656</v>
      </c>
      <c r="I17" s="10">
        <f t="shared" si="5"/>
        <v>69565631.440000102</v>
      </c>
      <c r="J17" s="10">
        <f t="shared" si="5"/>
        <v>62951354.020000003</v>
      </c>
      <c r="K17" s="10">
        <f t="shared" si="5"/>
        <v>61025874.810000002</v>
      </c>
      <c r="L17" s="10">
        <f t="shared" si="5"/>
        <v>29669911</v>
      </c>
      <c r="M17" s="10">
        <f t="shared" si="5"/>
        <v>9801073.0411570612</v>
      </c>
      <c r="N17" s="10">
        <f t="shared" si="5"/>
        <v>382442693.78179592</v>
      </c>
      <c r="O17" s="98">
        <f t="shared" si="4"/>
        <v>642680.33940762305</v>
      </c>
      <c r="P17" s="151">
        <f t="shared" si="3"/>
        <v>595.07451890360358</v>
      </c>
    </row>
    <row r="18" spans="1:19" x14ac:dyDescent="0.25">
      <c r="A18" s="10"/>
      <c r="B18" s="148" t="s">
        <v>127</v>
      </c>
      <c r="C18" s="12"/>
      <c r="D18" s="1">
        <f>D17/Quantities!D16</f>
        <v>10.364337087005859</v>
      </c>
      <c r="E18" s="1">
        <f>E17/Quantities!E16</f>
        <v>9.322740747031288</v>
      </c>
      <c r="F18" s="1">
        <f>F17/Quantities!F16</f>
        <v>7.39470106426774</v>
      </c>
      <c r="G18" s="1">
        <f>G17/Quantities!G16</f>
        <v>116.43962353432629</v>
      </c>
      <c r="H18" s="1">
        <f>H17/Quantities!H16</f>
        <v>91.925171969463989</v>
      </c>
      <c r="I18" s="1">
        <f>I17/Quantities!I16</f>
        <v>107.64407826000857</v>
      </c>
      <c r="J18" s="1">
        <f>J17/Quantities!J16</f>
        <v>96.444865946511484</v>
      </c>
      <c r="K18" s="1">
        <f>K17/Quantities!K16</f>
        <v>92.622307973676072</v>
      </c>
      <c r="L18" s="1">
        <f>L17/Quantities!L16</f>
        <v>44.655489465968714</v>
      </c>
      <c r="M18" s="1">
        <f>M17/Quantities!M16</f>
        <v>14.634036896366618</v>
      </c>
    </row>
    <row r="19" spans="1:19" s="15" customFormat="1" x14ac:dyDescent="0.25">
      <c r="A19" s="7"/>
      <c r="B19" s="13"/>
      <c r="C19" s="13"/>
      <c r="D19" s="14"/>
      <c r="E19" s="14"/>
      <c r="F19" s="14"/>
      <c r="G19" s="14"/>
      <c r="H19" s="14"/>
      <c r="I19" s="14"/>
      <c r="N19" s="14"/>
    </row>
    <row r="20" spans="1:19" s="17" customFormat="1" x14ac:dyDescent="0.25">
      <c r="A20" s="4"/>
      <c r="B20" s="16"/>
      <c r="C20" s="16"/>
      <c r="D20" s="3"/>
      <c r="E20" s="3"/>
      <c r="F20" s="3"/>
      <c r="G20" s="3"/>
      <c r="H20" s="3"/>
      <c r="I20" s="3"/>
      <c r="N20" s="3"/>
    </row>
    <row r="21" spans="1:19" s="17" customFormat="1" x14ac:dyDescent="0.25">
      <c r="A21" s="18" t="s">
        <v>9</v>
      </c>
      <c r="B21" s="19" t="str">
        <f>B9</f>
        <v>Capex</v>
      </c>
      <c r="C21" s="19"/>
    </row>
    <row r="22" spans="1:19" s="17" customFormat="1" x14ac:dyDescent="0.25">
      <c r="A22" s="18"/>
      <c r="B22" s="20" t="str">
        <f>B10</f>
        <v>Remotely read interval meters &amp; transformers</v>
      </c>
      <c r="C22" s="20"/>
      <c r="D22" s="168">
        <f>'[3]Data 2006-08'!D84</f>
        <v>0</v>
      </c>
      <c r="E22" s="168">
        <f>'[3]Data 2006-08'!E84</f>
        <v>0</v>
      </c>
      <c r="F22" s="168">
        <f>'[3]Data 2006-08'!F84</f>
        <v>0</v>
      </c>
      <c r="G22" s="3"/>
      <c r="H22" s="3"/>
      <c r="I22" s="3"/>
      <c r="J22" s="3"/>
      <c r="K22" s="3"/>
      <c r="L22" s="3"/>
      <c r="M22" s="3"/>
      <c r="N22" s="1">
        <f>SUM(D22:M22)</f>
        <v>0</v>
      </c>
    </row>
    <row r="23" spans="1:19" s="17" customFormat="1" x14ac:dyDescent="0.25">
      <c r="A23" s="18"/>
      <c r="B23" s="20" t="str">
        <f t="shared" ref="B23:B29" si="6">B11</f>
        <v>Accumulation Meters</v>
      </c>
      <c r="C23" s="20"/>
      <c r="D23" s="168">
        <v>3110319.3672495438</v>
      </c>
      <c r="E23" s="168">
        <v>3322720.7410121309</v>
      </c>
      <c r="F23" s="168">
        <v>3520556.3383218911</v>
      </c>
      <c r="G23" s="3">
        <f>'[3]Data 2009-11'!D10</f>
        <v>4532473.805165709</v>
      </c>
      <c r="H23" s="3">
        <f>'[3]Data 2009-11'!E10</f>
        <v>3901457.2776575359</v>
      </c>
      <c r="I23" s="3">
        <f>'[3]Data 2009-11'!F10</f>
        <v>1584273.64</v>
      </c>
      <c r="J23" s="3">
        <f>'[8]DNSP Data Inputs 2012-15'!G10</f>
        <v>949291.2300000001</v>
      </c>
      <c r="K23" s="168">
        <v>94385.84</v>
      </c>
      <c r="L23" s="168">
        <v>0</v>
      </c>
      <c r="M23" s="168">
        <v>18000</v>
      </c>
      <c r="N23" s="1">
        <f t="shared" ref="N23:N28" si="7">SUM(D23:M23)</f>
        <v>21033478.239406809</v>
      </c>
      <c r="O23" s="17">
        <f>AVERAGE(Quantities!D29:M29)</f>
        <v>702059.05585996702</v>
      </c>
      <c r="P23" s="152">
        <f>N23/O23</f>
        <v>29.959699349853775</v>
      </c>
      <c r="R23" s="152">
        <f>P23-P11</f>
        <v>-9.0630956120808328</v>
      </c>
    </row>
    <row r="24" spans="1:19" s="17" customFormat="1" x14ac:dyDescent="0.25">
      <c r="A24" s="18"/>
      <c r="B24" s="20" t="str">
        <f t="shared" si="6"/>
        <v>Manually read interval meters</v>
      </c>
      <c r="C24" s="20"/>
      <c r="D24" s="168">
        <v>4428728.5773323188</v>
      </c>
      <c r="E24" s="168">
        <v>3924638.6174798836</v>
      </c>
      <c r="F24" s="168">
        <v>2127705.6690441784</v>
      </c>
      <c r="G24" s="3">
        <f>'[3]Data 2009-11'!D11</f>
        <v>4149037.5409553209</v>
      </c>
      <c r="H24" s="3">
        <f>'[3]Data 2009-11'!E11</f>
        <v>4817824.8053511195</v>
      </c>
      <c r="I24" s="3">
        <f>'[3]Data 2009-11'!F11</f>
        <v>760748.95</v>
      </c>
      <c r="J24" s="3">
        <f>'[8]DNSP Data Inputs 2012-15'!G11</f>
        <v>160108.47999999998</v>
      </c>
      <c r="K24" s="168">
        <v>119609.11000000002</v>
      </c>
      <c r="L24" s="168">
        <v>14614</v>
      </c>
      <c r="M24" s="168">
        <v>14000</v>
      </c>
      <c r="N24" s="1">
        <f t="shared" si="7"/>
        <v>20517015.750162821</v>
      </c>
      <c r="O24" s="17">
        <f>O23</f>
        <v>702059.05585996702</v>
      </c>
      <c r="P24" s="152">
        <f t="shared" ref="P24:P29" si="8">N24/O24</f>
        <v>29.224059684026287</v>
      </c>
      <c r="R24" s="152">
        <f t="shared" ref="R24:R28" si="9">P24-P12</f>
        <v>24.461074569495661</v>
      </c>
    </row>
    <row r="25" spans="1:19" s="17" customFormat="1" x14ac:dyDescent="0.25">
      <c r="A25" s="18"/>
      <c r="B25" s="20" t="str">
        <f t="shared" si="6"/>
        <v>Remotely read interval meters &amp; transformers</v>
      </c>
      <c r="C25" s="20"/>
      <c r="D25" s="170"/>
      <c r="E25" s="170"/>
      <c r="F25" s="170"/>
      <c r="G25" s="3">
        <f>'[3]Data 2009-11'!D12</f>
        <v>2210814.54</v>
      </c>
      <c r="H25" s="3">
        <f>'[3]Data 2009-11'!E12</f>
        <v>66062251.949999988</v>
      </c>
      <c r="I25" s="3">
        <f>'[3]Data 2009-11'!F12</f>
        <v>92857134.000426456</v>
      </c>
      <c r="J25" s="3">
        <f>'[8]DNSP Data Inputs 2012-15'!G12</f>
        <v>97462298.309903547</v>
      </c>
      <c r="K25" s="168">
        <v>72813007.111382738</v>
      </c>
      <c r="L25" s="168">
        <v>11355006</v>
      </c>
      <c r="M25" s="168">
        <v>6884000</v>
      </c>
      <c r="N25" s="1">
        <f t="shared" si="7"/>
        <v>349644511.91171271</v>
      </c>
      <c r="O25" s="17">
        <f t="shared" ref="O25:O29" si="10">O24</f>
        <v>702059.05585996702</v>
      </c>
      <c r="P25" s="152">
        <f t="shared" si="8"/>
        <v>498.02720867039557</v>
      </c>
      <c r="R25" s="152">
        <f t="shared" si="9"/>
        <v>176.88567396705815</v>
      </c>
      <c r="S25" s="152">
        <f>SUM(R23:R25)</f>
        <v>192.28365292447299</v>
      </c>
    </row>
    <row r="26" spans="1:19" s="17" customFormat="1" x14ac:dyDescent="0.25">
      <c r="A26" s="18"/>
      <c r="B26" s="20" t="str">
        <f t="shared" si="6"/>
        <v>IT</v>
      </c>
      <c r="C26" s="20"/>
      <c r="D26" s="168">
        <v>0</v>
      </c>
      <c r="E26" s="168">
        <v>0</v>
      </c>
      <c r="F26" s="168">
        <v>0</v>
      </c>
      <c r="G26" s="3">
        <f>'[3]Data 2009-11'!D13</f>
        <v>24047547.66</v>
      </c>
      <c r="H26" s="3">
        <f>'[3]Data 2009-11'!E13</f>
        <v>21118048.699999999</v>
      </c>
      <c r="I26" s="3">
        <f>'[3]Data 2009-11'!F13</f>
        <v>11333414.250000002</v>
      </c>
      <c r="J26" s="3">
        <f>'[8]DNSP Data Inputs 2012-15'!G13</f>
        <v>9257594.75</v>
      </c>
      <c r="K26" s="168">
        <v>6387456.6100000003</v>
      </c>
      <c r="L26" s="168">
        <v>4981828.25</v>
      </c>
      <c r="M26" s="168">
        <v>4574000</v>
      </c>
      <c r="N26" s="1">
        <f t="shared" si="7"/>
        <v>81699890.219999999</v>
      </c>
      <c r="O26" s="17">
        <f t="shared" si="10"/>
        <v>702059.05585996702</v>
      </c>
      <c r="P26" s="152">
        <f t="shared" si="8"/>
        <v>116.37182020239604</v>
      </c>
      <c r="R26" s="152">
        <f t="shared" si="9"/>
        <v>-75.759686502498909</v>
      </c>
    </row>
    <row r="27" spans="1:19" s="17" customFormat="1" x14ac:dyDescent="0.25">
      <c r="A27" s="18"/>
      <c r="B27" s="20" t="str">
        <f t="shared" si="6"/>
        <v>Communications</v>
      </c>
      <c r="C27" s="20"/>
      <c r="D27" s="168">
        <f>'[3]Data 2006-08'!D86</f>
        <v>0</v>
      </c>
      <c r="E27" s="168">
        <f>'[3]Data 2006-08'!E86</f>
        <v>0</v>
      </c>
      <c r="F27" s="168">
        <v>0</v>
      </c>
      <c r="G27" s="3">
        <f>'[3]Data 2009-11'!D14</f>
        <v>945747.1</v>
      </c>
      <c r="H27" s="3">
        <f>'[3]Data 2009-11'!E14</f>
        <v>3326145.38</v>
      </c>
      <c r="I27" s="3">
        <f>'[3]Data 2009-11'!F14</f>
        <v>16172606.329999998</v>
      </c>
      <c r="J27" s="3">
        <f>'[8]DNSP Data Inputs 2012-15'!G14</f>
        <v>11529042.254151428</v>
      </c>
      <c r="K27" s="168">
        <v>4114819.8866793849</v>
      </c>
      <c r="L27" s="168">
        <v>5081697.0580500802</v>
      </c>
      <c r="M27" s="168">
        <v>2238000</v>
      </c>
      <c r="N27" s="1">
        <f t="shared" si="7"/>
        <v>43408058.008880898</v>
      </c>
      <c r="O27" s="17">
        <f t="shared" si="10"/>
        <v>702059.05585996702</v>
      </c>
      <c r="P27" s="152">
        <f t="shared" si="8"/>
        <v>61.829639040421533</v>
      </c>
      <c r="R27" s="152">
        <f t="shared" si="9"/>
        <v>48.959917029594614</v>
      </c>
    </row>
    <row r="28" spans="1:19" s="17" customFormat="1" x14ac:dyDescent="0.25">
      <c r="A28" s="18"/>
      <c r="B28" s="20" t="str">
        <f t="shared" si="6"/>
        <v>Other</v>
      </c>
      <c r="C28" s="20"/>
      <c r="D28" s="168">
        <f>'[3]Data 2006-08'!D87</f>
        <v>0</v>
      </c>
      <c r="E28" s="168">
        <v>0</v>
      </c>
      <c r="F28" s="168">
        <v>0</v>
      </c>
      <c r="G28" s="3">
        <f>'[3]Data 2009-11'!D15</f>
        <v>527728.94999999995</v>
      </c>
      <c r="H28" s="3">
        <f>'[3]Data 2009-11'!E15</f>
        <v>627653.81999999995</v>
      </c>
      <c r="I28" s="3">
        <f>'[3]Data 2009-11'!F15</f>
        <v>349105.82</v>
      </c>
      <c r="J28" s="3">
        <f>'[8]DNSP Data Inputs 2012-15'!G15</f>
        <v>174723.79</v>
      </c>
      <c r="K28" s="168">
        <v>37731.840000000004</v>
      </c>
      <c r="L28" s="168">
        <v>0</v>
      </c>
      <c r="M28" s="168">
        <v>0</v>
      </c>
      <c r="N28" s="1">
        <f t="shared" si="7"/>
        <v>1716944.2200000002</v>
      </c>
      <c r="O28" s="17">
        <f t="shared" si="10"/>
        <v>702059.05585996702</v>
      </c>
      <c r="P28" s="152">
        <f t="shared" si="8"/>
        <v>2.4455837520632491</v>
      </c>
      <c r="R28" s="152">
        <f t="shared" si="9"/>
        <v>-22.700391656015825</v>
      </c>
    </row>
    <row r="29" spans="1:19" s="17" customFormat="1" x14ac:dyDescent="0.25">
      <c r="A29" s="18"/>
      <c r="B29" s="89" t="str">
        <f t="shared" si="6"/>
        <v>Total</v>
      </c>
      <c r="C29" s="89"/>
      <c r="D29" s="18">
        <f>SUM(D22:D28)</f>
        <v>7539047.9445818625</v>
      </c>
      <c r="E29" s="18">
        <f t="shared" ref="E29:N29" si="11">SUM(E22:E28)</f>
        <v>7247359.3584920149</v>
      </c>
      <c r="F29" s="18">
        <f t="shared" si="11"/>
        <v>5648262.0073660696</v>
      </c>
      <c r="G29" s="18">
        <f t="shared" si="11"/>
        <v>36413349.596121036</v>
      </c>
      <c r="H29" s="18">
        <f t="shared" si="11"/>
        <v>99853381.933008626</v>
      </c>
      <c r="I29" s="18">
        <f t="shared" si="11"/>
        <v>123057282.99042645</v>
      </c>
      <c r="J29" s="18">
        <f t="shared" si="11"/>
        <v>119533058.81405498</v>
      </c>
      <c r="K29" s="18">
        <f t="shared" si="11"/>
        <v>83567010.398062125</v>
      </c>
      <c r="L29" s="18">
        <f t="shared" si="11"/>
        <v>21433145.308050081</v>
      </c>
      <c r="M29" s="18">
        <f t="shared" si="11"/>
        <v>13728000</v>
      </c>
      <c r="N29" s="18">
        <f t="shared" si="11"/>
        <v>518019898.35016328</v>
      </c>
      <c r="O29" s="17">
        <f t="shared" si="10"/>
        <v>702059.05585996702</v>
      </c>
      <c r="P29" s="152">
        <f t="shared" si="8"/>
        <v>737.85801069915658</v>
      </c>
      <c r="R29" s="152">
        <f>SUM(R23:R28)</f>
        <v>142.78349179555286</v>
      </c>
    </row>
    <row r="30" spans="1:19" s="17" customFormat="1" x14ac:dyDescent="0.25">
      <c r="A30" s="18"/>
      <c r="B30" s="148" t="s">
        <v>127</v>
      </c>
      <c r="C30" s="16"/>
      <c r="D30" s="3">
        <f>D29/Quantities!D29</f>
        <v>11.676309343067516</v>
      </c>
      <c r="E30" s="3">
        <f>E29/Quantities!E29</f>
        <v>11.037888818368275</v>
      </c>
      <c r="F30" s="3">
        <f>F29/Quantities!F29</f>
        <v>8.455451437152341</v>
      </c>
      <c r="G30" s="3">
        <f>G29/Quantities!G29</f>
        <v>53.657296389379283</v>
      </c>
      <c r="H30" s="3">
        <f>H29/Quantities!H29</f>
        <v>145.14038962815388</v>
      </c>
      <c r="I30" s="3">
        <f>I29/Quantities!I29</f>
        <v>175.58090103062801</v>
      </c>
      <c r="J30" s="3">
        <f>J29/Quantities!J29</f>
        <v>164.17018307746622</v>
      </c>
      <c r="K30" s="3">
        <f>K29/Quantities!K29</f>
        <v>112.91634347535339</v>
      </c>
      <c r="L30" s="3">
        <f>L29/Quantities!L29</f>
        <v>28.509772240856929</v>
      </c>
      <c r="M30" s="3">
        <f>M29/Quantities!M29</f>
        <v>17.994531421206144</v>
      </c>
      <c r="N30" s="1"/>
      <c r="P30" s="2"/>
    </row>
    <row r="31" spans="1:19" s="15" customFormat="1" x14ac:dyDescent="0.25">
      <c r="A31" s="7"/>
      <c r="B31" s="13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9" s="17" customFormat="1" x14ac:dyDescent="0.25">
      <c r="A32" s="4"/>
      <c r="B32" s="16"/>
      <c r="C32" s="1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 s="17" customFormat="1" x14ac:dyDescent="0.25">
      <c r="A33" s="18" t="s">
        <v>11</v>
      </c>
      <c r="B33" s="19" t="str">
        <f>B21</f>
        <v>Capex</v>
      </c>
      <c r="C33" s="19"/>
    </row>
    <row r="34" spans="1:16" s="17" customFormat="1" x14ac:dyDescent="0.25">
      <c r="A34" s="4"/>
      <c r="B34" s="20" t="str">
        <f t="shared" ref="B34:B41" si="12">B22</f>
        <v>Remotely read interval meters &amp; transformers</v>
      </c>
      <c r="C34" s="20"/>
      <c r="D34" s="168">
        <v>0</v>
      </c>
      <c r="E34" s="168">
        <v>0</v>
      </c>
      <c r="F34" s="168">
        <v>0</v>
      </c>
      <c r="G34" s="3"/>
      <c r="H34" s="3"/>
      <c r="I34" s="3"/>
      <c r="J34" s="3"/>
      <c r="K34" s="3"/>
      <c r="L34" s="3"/>
      <c r="M34" s="3"/>
      <c r="N34" s="1">
        <f>SUM(D34:M34)</f>
        <v>0</v>
      </c>
    </row>
    <row r="35" spans="1:16" s="17" customFormat="1" x14ac:dyDescent="0.25">
      <c r="A35" s="4"/>
      <c r="B35" s="20" t="str">
        <f t="shared" si="12"/>
        <v>Accumulation Meters</v>
      </c>
      <c r="C35" s="20"/>
      <c r="D35" s="168">
        <v>1814870.0043978123</v>
      </c>
      <c r="E35" s="168">
        <v>1892635.0115890198</v>
      </c>
      <c r="F35" s="168">
        <v>1806495.1215798946</v>
      </c>
      <c r="G35" s="3">
        <f>'[4]Data 2009-11'!D10</f>
        <v>1468615.4141471654</v>
      </c>
      <c r="H35" s="3">
        <f>'[4]Data 2009-11'!E10</f>
        <v>1304832.0340102196</v>
      </c>
      <c r="I35" s="3">
        <f>'[4]Data 2009-11'!F10</f>
        <v>115969.86000000002</v>
      </c>
      <c r="J35" s="3">
        <f>'[9]DNSP Data Inputs 2012-15'!G10</f>
        <v>27756.020000000004</v>
      </c>
      <c r="K35" s="168">
        <v>19837.78</v>
      </c>
      <c r="L35" s="168">
        <f>('[9]DNSP Data Inputs 2012-15'!I10)*L5</f>
        <v>0</v>
      </c>
      <c r="M35" s="168">
        <v>0</v>
      </c>
      <c r="N35" s="1">
        <f t="shared" ref="N35:N39" si="13">SUM(D35:M35)</f>
        <v>8451011.2457241099</v>
      </c>
      <c r="O35" s="17">
        <f>AVERAGE(Quantities!D39:M39)</f>
        <v>302750.38587069913</v>
      </c>
      <c r="P35" s="152">
        <f>N35/O35</f>
        <v>27.914122128760656</v>
      </c>
    </row>
    <row r="36" spans="1:16" s="17" customFormat="1" x14ac:dyDescent="0.25">
      <c r="A36" s="4"/>
      <c r="B36" s="20" t="str">
        <f t="shared" si="12"/>
        <v>Manually read interval meters</v>
      </c>
      <c r="C36" s="20"/>
      <c r="D36" s="168">
        <v>2609394.8601199589</v>
      </c>
      <c r="E36" s="168">
        <v>324697.19069341861</v>
      </c>
      <c r="F36" s="168">
        <v>469508.29088543274</v>
      </c>
      <c r="G36" s="3">
        <f>'[4]Data 2009-11'!D11</f>
        <v>618842.83315334772</v>
      </c>
      <c r="H36" s="3">
        <f>'[4]Data 2009-11'!E11</f>
        <v>1131573.3510638534</v>
      </c>
      <c r="I36" s="3">
        <f>'[4]Data 2009-11'!F11</f>
        <v>272171.59999999998</v>
      </c>
      <c r="J36" s="3">
        <f>'[9]DNSP Data Inputs 2012-15'!G11</f>
        <v>46787.92</v>
      </c>
      <c r="K36" s="168">
        <v>15201.420000000002</v>
      </c>
      <c r="L36" s="168">
        <v>14068.03</v>
      </c>
      <c r="M36" s="168">
        <v>14000</v>
      </c>
      <c r="N36" s="1">
        <f t="shared" si="13"/>
        <v>5516245.4959160108</v>
      </c>
      <c r="O36" s="17">
        <f>O35</f>
        <v>302750.38587069913</v>
      </c>
      <c r="P36" s="152">
        <f t="shared" ref="P36:P41" si="14">N36/O36</f>
        <v>18.220440842879487</v>
      </c>
    </row>
    <row r="37" spans="1:16" s="17" customFormat="1" x14ac:dyDescent="0.25">
      <c r="A37" s="4"/>
      <c r="B37" s="20" t="str">
        <f t="shared" si="12"/>
        <v>Remotely read interval meters &amp; transformers</v>
      </c>
      <c r="C37" s="20"/>
      <c r="D37" s="168">
        <v>0</v>
      </c>
      <c r="E37" s="168">
        <v>0</v>
      </c>
      <c r="F37" s="168">
        <v>0</v>
      </c>
      <c r="G37" s="3">
        <f>'[4]Data 2009-11'!D12</f>
        <v>1194118.8600000001</v>
      </c>
      <c r="H37" s="3">
        <f>'[4]Data 2009-11'!E12</f>
        <v>24419109.440000001</v>
      </c>
      <c r="I37" s="3">
        <f>'[4]Data 2009-11'!F12</f>
        <v>39064217.97794871</v>
      </c>
      <c r="J37" s="3">
        <f>'[9]DNSP Data Inputs 2012-15'!G12</f>
        <v>35577543.772276796</v>
      </c>
      <c r="K37" s="168">
        <v>25327038.123736266</v>
      </c>
      <c r="L37" s="168">
        <v>1693843.78</v>
      </c>
      <c r="M37" s="168">
        <v>2730000</v>
      </c>
      <c r="N37" s="1">
        <f t="shared" si="13"/>
        <v>130005871.95396176</v>
      </c>
      <c r="O37" s="17">
        <f t="shared" ref="O37:O41" si="15">O36</f>
        <v>302750.38587069913</v>
      </c>
      <c r="P37" s="152">
        <f t="shared" si="14"/>
        <v>429.41604047859289</v>
      </c>
    </row>
    <row r="38" spans="1:16" s="17" customFormat="1" x14ac:dyDescent="0.25">
      <c r="A38" s="4"/>
      <c r="B38" s="20" t="str">
        <f t="shared" si="12"/>
        <v>IT</v>
      </c>
      <c r="C38" s="20"/>
      <c r="D38" s="168">
        <v>0</v>
      </c>
      <c r="E38" s="168">
        <v>0</v>
      </c>
      <c r="F38" s="168">
        <v>0</v>
      </c>
      <c r="G38" s="3">
        <f>'[4]Data 2009-11'!D13</f>
        <v>13010286.379999999</v>
      </c>
      <c r="H38" s="3">
        <f>'[4]Data 2009-11'!E13</f>
        <v>11888655.5</v>
      </c>
      <c r="I38" s="3">
        <f>'[4]Data 2009-11'!F13</f>
        <v>6194914.0899999999</v>
      </c>
      <c r="J38" s="3">
        <f>'[9]DNSP Data Inputs 2012-15'!G13</f>
        <v>6292021.4800000004</v>
      </c>
      <c r="K38" s="168">
        <v>4885638.04</v>
      </c>
      <c r="L38" s="168">
        <v>278679.65446948103</v>
      </c>
      <c r="M38" s="168">
        <v>2429000</v>
      </c>
      <c r="N38" s="1">
        <f t="shared" si="13"/>
        <v>44979195.144469485</v>
      </c>
      <c r="O38" s="17">
        <f t="shared" si="15"/>
        <v>302750.38587069913</v>
      </c>
      <c r="P38" s="152">
        <f t="shared" si="14"/>
        <v>148.56858073066019</v>
      </c>
    </row>
    <row r="39" spans="1:16" s="17" customFormat="1" x14ac:dyDescent="0.25">
      <c r="A39" s="4"/>
      <c r="B39" s="20" t="str">
        <f t="shared" si="12"/>
        <v>Communications</v>
      </c>
      <c r="C39" s="20"/>
      <c r="D39" s="168">
        <f>'[4]Data 2006-08'!D86</f>
        <v>0</v>
      </c>
      <c r="E39" s="168">
        <f>'[4]Data 2006-08'!E86</f>
        <v>0</v>
      </c>
      <c r="F39" s="168">
        <v>0</v>
      </c>
      <c r="G39" s="3">
        <f>'[4]Data 2009-11'!D14</f>
        <v>496679.74</v>
      </c>
      <c r="H39" s="3">
        <f>'[4]Data 2009-11'!E14</f>
        <v>1581806.02</v>
      </c>
      <c r="I39" s="3">
        <f>'[4]Data 2009-11'!F14</f>
        <v>948182.41999999993</v>
      </c>
      <c r="J39" s="3">
        <f>'[9]DNSP Data Inputs 2012-15'!G14</f>
        <v>2341229.455105715</v>
      </c>
      <c r="K39" s="168">
        <v>1773621.2319761303</v>
      </c>
      <c r="L39" s="168">
        <v>2872470.56</v>
      </c>
      <c r="M39" s="168">
        <v>199000</v>
      </c>
      <c r="N39" s="1">
        <f t="shared" si="13"/>
        <v>10212989.427081844</v>
      </c>
      <c r="O39" s="17">
        <f t="shared" si="15"/>
        <v>302750.38587069913</v>
      </c>
      <c r="P39" s="152">
        <f t="shared" si="14"/>
        <v>33.734026127529638</v>
      </c>
    </row>
    <row r="40" spans="1:16" s="17" customFormat="1" x14ac:dyDescent="0.25">
      <c r="A40" s="4"/>
      <c r="B40" s="20" t="str">
        <f t="shared" si="12"/>
        <v>Other</v>
      </c>
      <c r="C40" s="20"/>
      <c r="D40" s="169">
        <v>13801.459826295506</v>
      </c>
      <c r="E40" s="168">
        <f>'[4]Data 2006-08'!E87</f>
        <v>0</v>
      </c>
      <c r="F40" s="168">
        <f>'[4]Data 2006-08'!F87</f>
        <v>0</v>
      </c>
      <c r="G40" s="3">
        <f>'[4]Data 2009-11'!D15</f>
        <v>0</v>
      </c>
      <c r="H40" s="3">
        <f>'[4]Data 2009-11'!E15</f>
        <v>0</v>
      </c>
      <c r="I40" s="3">
        <f>'[4]Data 2009-11'!F15</f>
        <v>90958.91</v>
      </c>
      <c r="J40" s="3">
        <f>'[9]DNSP Data Inputs 2012-15'!G15</f>
        <v>0</v>
      </c>
      <c r="K40" s="168">
        <f>'[9]DNSP Data Inputs 2012-15'!H15</f>
        <v>0</v>
      </c>
      <c r="L40" s="168">
        <f>('[9]DNSP Data Inputs 2012-15'!I15)*L5</f>
        <v>0</v>
      </c>
      <c r="M40" s="168">
        <v>0</v>
      </c>
      <c r="N40" s="1">
        <f>SUM(D40:M40)</f>
        <v>104760.36982629551</v>
      </c>
      <c r="O40" s="17">
        <f t="shared" si="15"/>
        <v>302750.38587069913</v>
      </c>
      <c r="P40" s="152">
        <f t="shared" si="14"/>
        <v>0.34602885649512383</v>
      </c>
    </row>
    <row r="41" spans="1:16" s="17" customFormat="1" x14ac:dyDescent="0.25">
      <c r="A41" s="4"/>
      <c r="B41" s="89" t="str">
        <f t="shared" si="12"/>
        <v>Total</v>
      </c>
      <c r="C41" s="89"/>
      <c r="D41" s="18">
        <f>SUM(D34:D40)</f>
        <v>4438066.324344066</v>
      </c>
      <c r="E41" s="18">
        <f t="shared" ref="E41:N41" si="16">SUM(E34:E40)</f>
        <v>2217332.2022824385</v>
      </c>
      <c r="F41" s="18">
        <f t="shared" si="16"/>
        <v>2276003.4124653274</v>
      </c>
      <c r="G41" s="18">
        <f t="shared" si="16"/>
        <v>16788543.22730051</v>
      </c>
      <c r="H41" s="18">
        <f t="shared" si="16"/>
        <v>40325976.34507408</v>
      </c>
      <c r="I41" s="18">
        <f t="shared" si="16"/>
        <v>46686414.857948706</v>
      </c>
      <c r="J41" s="18">
        <f t="shared" si="16"/>
        <v>44285338.647382505</v>
      </c>
      <c r="K41" s="18">
        <f t="shared" si="16"/>
        <v>32021336.595712394</v>
      </c>
      <c r="L41" s="18">
        <f t="shared" si="16"/>
        <v>4859062.0244694808</v>
      </c>
      <c r="M41" s="18">
        <f t="shared" si="16"/>
        <v>5372000</v>
      </c>
      <c r="N41" s="18">
        <f t="shared" si="16"/>
        <v>199270073.63697952</v>
      </c>
      <c r="O41" s="17">
        <f t="shared" si="15"/>
        <v>302750.38587069913</v>
      </c>
      <c r="P41" s="152">
        <f t="shared" si="14"/>
        <v>658.19923916491803</v>
      </c>
    </row>
    <row r="42" spans="1:16" s="17" customFormat="1" x14ac:dyDescent="0.25">
      <c r="A42" s="4"/>
      <c r="B42" s="148" t="s">
        <v>127</v>
      </c>
      <c r="D42" s="39">
        <f>D41/Quantities!D39</f>
        <v>15.766649404796077</v>
      </c>
      <c r="E42" s="39">
        <f>E41/Quantities!E39</f>
        <v>7.7155554272406848</v>
      </c>
      <c r="F42" s="39">
        <f>F41/Quantities!F39</f>
        <v>7.7978984579755704</v>
      </c>
      <c r="G42" s="39">
        <f>G41/Quantities!G39</f>
        <v>56.831219604355368</v>
      </c>
      <c r="H42" s="39">
        <f>H41/Quantities!H39</f>
        <v>133.70561356181733</v>
      </c>
      <c r="I42" s="39">
        <f>I41/Quantities!I39</f>
        <v>151.54501521742156</v>
      </c>
      <c r="J42" s="39">
        <f>J41/Quantities!J39</f>
        <v>143.67116272188011</v>
      </c>
      <c r="K42" s="39">
        <f>K41/Quantities!K39</f>
        <v>102.00334593508771</v>
      </c>
      <c r="L42" s="39">
        <f>L41/Quantities!L39</f>
        <v>15.298740728492222</v>
      </c>
      <c r="M42" s="39">
        <f>M41/Quantities!M39</f>
        <v>16.68837726947655</v>
      </c>
      <c r="N42" s="1"/>
      <c r="P42" s="2"/>
    </row>
    <row r="43" spans="1:16" s="15" customFormat="1" x14ac:dyDescent="0.25">
      <c r="A43" s="7"/>
      <c r="B43" s="21"/>
      <c r="C43" s="21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6" s="17" customFormat="1" x14ac:dyDescent="0.25">
      <c r="A44" s="4"/>
      <c r="B44" s="19"/>
      <c r="C44" s="1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6" s="17" customFormat="1" x14ac:dyDescent="0.25">
      <c r="A45" s="18" t="s">
        <v>10</v>
      </c>
      <c r="B45" s="19" t="str">
        <f>B33</f>
        <v>Capex</v>
      </c>
      <c r="C45" s="19"/>
      <c r="D45" s="18"/>
      <c r="E45" s="18"/>
      <c r="F45" s="18"/>
      <c r="G45" s="18"/>
      <c r="H45" s="18"/>
      <c r="I45" s="18"/>
      <c r="J45" s="27"/>
      <c r="K45" s="27"/>
      <c r="L45" s="27"/>
      <c r="M45" s="27"/>
      <c r="N45" s="18"/>
    </row>
    <row r="46" spans="1:16" s="17" customFormat="1" x14ac:dyDescent="0.25">
      <c r="A46" s="4"/>
      <c r="B46" s="22" t="str">
        <f t="shared" ref="B46:B52" si="17">B34</f>
        <v>Remotely read interval meters &amp; transformers</v>
      </c>
      <c r="C46" s="22"/>
      <c r="D46" s="171">
        <f>'[5]Data 2006-08'!D84</f>
        <v>0</v>
      </c>
      <c r="E46" s="171">
        <f>'[5]Data 2006-08'!E84</f>
        <v>0</v>
      </c>
      <c r="F46" s="171">
        <f>'[5]Data 2006-08'!F84</f>
        <v>0</v>
      </c>
      <c r="G46" s="171"/>
      <c r="H46" s="171"/>
      <c r="I46" s="171"/>
      <c r="J46" s="171"/>
      <c r="K46" s="171"/>
      <c r="L46" s="171"/>
      <c r="M46" s="171"/>
      <c r="N46" s="1">
        <f>SUM(D46:M46)</f>
        <v>0</v>
      </c>
    </row>
    <row r="47" spans="1:16" s="17" customFormat="1" x14ac:dyDescent="0.25">
      <c r="A47" s="4"/>
      <c r="B47" s="22" t="str">
        <f t="shared" si="17"/>
        <v>Accumulation Meters</v>
      </c>
      <c r="C47" s="22"/>
      <c r="D47" s="171">
        <v>3884866</v>
      </c>
      <c r="E47" s="171">
        <v>3731713.7004690147</v>
      </c>
      <c r="F47" s="171">
        <v>4655660.0456358176</v>
      </c>
      <c r="G47" s="171">
        <v>5642354.8024567701</v>
      </c>
      <c r="H47" s="171">
        <v>5666645.7940240987</v>
      </c>
      <c r="I47" s="171">
        <v>244000</v>
      </c>
      <c r="J47" s="171">
        <v>674105.83766478498</v>
      </c>
      <c r="K47" s="171"/>
      <c r="L47" s="171"/>
      <c r="M47" s="171"/>
      <c r="N47" s="1">
        <f t="shared" ref="N47:N52" si="18">SUM(D47:M47)</f>
        <v>24499346.180250488</v>
      </c>
      <c r="O47" s="17">
        <f>AVERAGE(Quantities!D51:M51)</f>
        <v>702744.74549355288</v>
      </c>
      <c r="P47" s="152">
        <f t="shared" ref="P47:P53" si="19">N47/O47</f>
        <v>34.862368359715113</v>
      </c>
    </row>
    <row r="48" spans="1:16" s="17" customFormat="1" x14ac:dyDescent="0.25">
      <c r="A48" s="4"/>
      <c r="B48" s="22" t="str">
        <f t="shared" si="17"/>
        <v>Manually read interval meters</v>
      </c>
      <c r="C48" s="22"/>
      <c r="D48" s="171">
        <v>1152440</v>
      </c>
      <c r="E48" s="171">
        <v>3068765.1960286894</v>
      </c>
      <c r="F48" s="171">
        <v>4079284.046640974</v>
      </c>
      <c r="G48" s="171">
        <v>4388551.8229085337</v>
      </c>
      <c r="H48" s="171">
        <v>5905381.0176459458</v>
      </c>
      <c r="I48" s="171">
        <v>6000</v>
      </c>
      <c r="J48" s="171">
        <v>69558.012335216801</v>
      </c>
      <c r="K48" s="171"/>
      <c r="L48" s="171">
        <v>1000</v>
      </c>
      <c r="M48" s="171"/>
      <c r="N48" s="1">
        <f t="shared" si="18"/>
        <v>18670980.095559359</v>
      </c>
      <c r="O48" s="17">
        <f>O47</f>
        <v>702744.74549355288</v>
      </c>
      <c r="P48" s="152">
        <f t="shared" si="19"/>
        <v>26.56865129947905</v>
      </c>
    </row>
    <row r="49" spans="1:16" s="17" customFormat="1" x14ac:dyDescent="0.25">
      <c r="A49" s="4"/>
      <c r="B49" s="22" t="str">
        <f t="shared" si="17"/>
        <v>Remotely read interval meters &amp; transformers</v>
      </c>
      <c r="C49" s="22"/>
      <c r="D49" s="172">
        <v>2265768</v>
      </c>
      <c r="E49" s="172">
        <v>63679.999999997999</v>
      </c>
      <c r="F49" s="172">
        <v>111640.67900000009</v>
      </c>
      <c r="G49" s="171">
        <v>1217602.3400000001</v>
      </c>
      <c r="H49" s="171">
        <v>29691789.298330415</v>
      </c>
      <c r="I49" s="171">
        <v>80253000</v>
      </c>
      <c r="J49" s="171">
        <v>90618361.041847378</v>
      </c>
      <c r="K49" s="171">
        <f>96619245.48-22700000</f>
        <v>73919245.480000004</v>
      </c>
      <c r="L49" s="171">
        <v>38852000</v>
      </c>
      <c r="M49" s="171">
        <v>11247000</v>
      </c>
      <c r="N49" s="1">
        <f t="shared" si="18"/>
        <v>328240086.83917779</v>
      </c>
      <c r="O49" s="17">
        <f t="shared" ref="O49:O52" si="20">O48</f>
        <v>702744.74549355288</v>
      </c>
      <c r="P49" s="152">
        <f t="shared" si="19"/>
        <v>467.08294717827829</v>
      </c>
    </row>
    <row r="50" spans="1:16" s="17" customFormat="1" x14ac:dyDescent="0.25">
      <c r="A50" s="4"/>
      <c r="B50" s="22" t="str">
        <f t="shared" si="17"/>
        <v>IT</v>
      </c>
      <c r="C50" s="22"/>
      <c r="D50" s="171">
        <v>222281</v>
      </c>
      <c r="E50" s="171">
        <v>114613.28107590035</v>
      </c>
      <c r="F50" s="171">
        <v>0</v>
      </c>
      <c r="G50" s="171">
        <v>26456656.380134132</v>
      </c>
      <c r="H50" s="171">
        <v>38827401.623737566</v>
      </c>
      <c r="I50" s="171">
        <v>23232071.948036097</v>
      </c>
      <c r="J50" s="171">
        <v>24642546.559058465</v>
      </c>
      <c r="K50" s="171">
        <v>9036460.0667708814</v>
      </c>
      <c r="L50" s="171">
        <v>17030000</v>
      </c>
      <c r="M50" s="171">
        <v>44745000</v>
      </c>
      <c r="N50" s="1">
        <f t="shared" si="18"/>
        <v>184307030.85881305</v>
      </c>
      <c r="O50" s="17">
        <f t="shared" si="20"/>
        <v>702744.74549355288</v>
      </c>
      <c r="P50" s="152">
        <f t="shared" si="19"/>
        <v>262.26739088510755</v>
      </c>
    </row>
    <row r="51" spans="1:16" s="17" customFormat="1" x14ac:dyDescent="0.25">
      <c r="A51" s="4"/>
      <c r="B51" s="22" t="str">
        <f t="shared" si="17"/>
        <v>Communications</v>
      </c>
      <c r="C51" s="22"/>
      <c r="D51" s="171">
        <f>'[5]Data 2006-08'!D86</f>
        <v>0</v>
      </c>
      <c r="E51" s="171">
        <f>'[5]Data 2006-08'!E86</f>
        <v>0</v>
      </c>
      <c r="F51" s="171">
        <f>'[5]Data 2006-08'!F86</f>
        <v>0</v>
      </c>
      <c r="G51" s="171">
        <v>888555.09</v>
      </c>
      <c r="H51" s="171">
        <v>8756866.3000000007</v>
      </c>
      <c r="I51" s="171">
        <v>8959364.2199999988</v>
      </c>
      <c r="J51" s="171">
        <v>24833830.630000003</v>
      </c>
      <c r="K51" s="171">
        <v>31457796.080000002</v>
      </c>
      <c r="L51" s="171">
        <v>4478000</v>
      </c>
      <c r="M51" s="171">
        <v>4482000</v>
      </c>
      <c r="N51" s="1">
        <f t="shared" si="18"/>
        <v>83856412.320000008</v>
      </c>
      <c r="O51" s="17">
        <f t="shared" si="20"/>
        <v>702744.74549355288</v>
      </c>
      <c r="P51" s="152">
        <f t="shared" si="19"/>
        <v>119.32698587608198</v>
      </c>
    </row>
    <row r="52" spans="1:16" s="17" customFormat="1" x14ac:dyDescent="0.25">
      <c r="A52" s="4"/>
      <c r="B52" s="22" t="str">
        <f t="shared" si="17"/>
        <v>Other</v>
      </c>
      <c r="C52" s="22"/>
      <c r="D52" s="171">
        <f>'[5]Data 2006-08'!D87</f>
        <v>0</v>
      </c>
      <c r="E52" s="171">
        <f>'[5]Data 2006-08'!E87</f>
        <v>0</v>
      </c>
      <c r="F52" s="171">
        <f>'[5]Data 2006-08'!F87</f>
        <v>0</v>
      </c>
      <c r="G52" s="171"/>
      <c r="H52" s="171"/>
      <c r="I52" s="171"/>
      <c r="J52" s="171"/>
      <c r="K52" s="171"/>
      <c r="L52" s="171"/>
      <c r="M52" s="171"/>
      <c r="N52" s="1">
        <f t="shared" si="18"/>
        <v>0</v>
      </c>
      <c r="O52" s="17">
        <f t="shared" si="20"/>
        <v>702744.74549355288</v>
      </c>
      <c r="P52" s="152">
        <f t="shared" si="19"/>
        <v>0</v>
      </c>
    </row>
    <row r="53" spans="1:16" s="17" customFormat="1" x14ac:dyDescent="0.25">
      <c r="A53" s="4"/>
      <c r="B53" s="89" t="str">
        <f>B41</f>
        <v>Total</v>
      </c>
      <c r="C53" s="89"/>
      <c r="D53" s="18">
        <f>SUM(D46:D52)</f>
        <v>7525355</v>
      </c>
      <c r="E53" s="18">
        <f t="shared" ref="E53:F53" si="21">SUM(E46:E52)</f>
        <v>6978772.1775736026</v>
      </c>
      <c r="F53" s="18">
        <f t="shared" si="21"/>
        <v>8846584.7712767906</v>
      </c>
      <c r="G53" s="18">
        <f t="shared" ref="G53" si="22">SUM(G46:G52)</f>
        <v>38593720.435499437</v>
      </c>
      <c r="H53" s="18">
        <f t="shared" ref="H53" si="23">SUM(H46:H52)</f>
        <v>88848084.033738032</v>
      </c>
      <c r="I53" s="18">
        <f t="shared" ref="I53" si="24">SUM(I46:I52)</f>
        <v>112694436.1680361</v>
      </c>
      <c r="J53" s="18">
        <f t="shared" ref="J53" si="25">SUM(J46:J52)</f>
        <v>140838402.08090585</v>
      </c>
      <c r="K53" s="18">
        <f t="shared" ref="K53" si="26">SUM(K46:K52)</f>
        <v>114413501.62677088</v>
      </c>
      <c r="L53" s="18">
        <f t="shared" ref="L53" si="27">SUM(L46:L52)</f>
        <v>60361000</v>
      </c>
      <c r="M53" s="18">
        <f t="shared" ref="M53" si="28">SUM(M46:M52)</f>
        <v>60474000</v>
      </c>
      <c r="N53" s="18">
        <f t="shared" ref="N53" si="29">SUM(N46:N52)</f>
        <v>639573856.29380071</v>
      </c>
      <c r="O53" s="34">
        <f>O52</f>
        <v>702744.74549355288</v>
      </c>
      <c r="P53" s="152">
        <f t="shared" si="19"/>
        <v>910.10834359866203</v>
      </c>
    </row>
    <row r="54" spans="1:16" s="17" customFormat="1" x14ac:dyDescent="0.25">
      <c r="B54" s="148" t="s">
        <v>127</v>
      </c>
      <c r="D54" s="40">
        <f>D53/Quantities!D51</f>
        <v>10.068024526022443</v>
      </c>
      <c r="E54" s="40">
        <f>E53/Quantities!E51</f>
        <v>9.1905792862465123</v>
      </c>
      <c r="F54" s="40">
        <f>F53/Quantities!F51</f>
        <v>11.818937280826614</v>
      </c>
      <c r="G54" s="40">
        <f>G53/Quantities!G51</f>
        <v>52.305082458716107</v>
      </c>
      <c r="H54" s="40">
        <f>H53/Quantities!H51</f>
        <v>136.76489635619987</v>
      </c>
      <c r="I54" s="40">
        <f>I53/Quantities!I51</f>
        <v>169.78804248682624</v>
      </c>
      <c r="J54" s="40">
        <f>J53/Quantities!J51</f>
        <v>211.90029247838612</v>
      </c>
      <c r="K54" s="40">
        <f>K53/Quantities!K51</f>
        <v>169.40174266136296</v>
      </c>
      <c r="L54" s="40">
        <f>L53/Quantities!L51</f>
        <v>88.05277521980338</v>
      </c>
      <c r="M54" s="40">
        <f>M53/Quantities!M51</f>
        <v>86.967778100209543</v>
      </c>
      <c r="N54" s="1"/>
      <c r="P54" s="2"/>
    </row>
    <row r="55" spans="1:16" s="15" customFormat="1" x14ac:dyDescent="0.25">
      <c r="A55" s="7"/>
      <c r="B55" s="21"/>
      <c r="C55" s="21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6" s="17" customFormat="1" x14ac:dyDescent="0.25">
      <c r="A56" s="4"/>
      <c r="B56" s="19"/>
      <c r="C56" s="19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6" s="17" customFormat="1" x14ac:dyDescent="0.25">
      <c r="A57" s="18" t="s">
        <v>12</v>
      </c>
      <c r="B57" s="24" t="str">
        <f t="shared" ref="B57:B65" si="30">B45</f>
        <v>Capex</v>
      </c>
      <c r="C57" s="2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6" x14ac:dyDescent="0.25">
      <c r="B58" s="23" t="str">
        <f t="shared" si="30"/>
        <v>Remotely read interval meters &amp; transformers</v>
      </c>
      <c r="C58" s="23"/>
      <c r="D58" s="168">
        <f>'[6]Data 2006-08'!D84</f>
        <v>0</v>
      </c>
      <c r="E58" s="168">
        <f>'[6]Data 2006-08'!E84</f>
        <v>0</v>
      </c>
      <c r="F58" s="168">
        <f>'[6]Data 2006-08'!F84</f>
        <v>0</v>
      </c>
      <c r="G58" s="3"/>
      <c r="H58" s="3"/>
      <c r="I58" s="3"/>
      <c r="J58" s="3"/>
      <c r="K58" s="3"/>
      <c r="L58" s="3"/>
      <c r="M58" s="3"/>
      <c r="N58" s="1">
        <f>SUM(D58:M58)</f>
        <v>0</v>
      </c>
    </row>
    <row r="59" spans="1:16" x14ac:dyDescent="0.25">
      <c r="B59" s="23" t="str">
        <f t="shared" si="30"/>
        <v>Accumulation Meters</v>
      </c>
      <c r="C59" s="23"/>
      <c r="D59" s="168">
        <v>4886139.7452000007</v>
      </c>
      <c r="E59" s="168">
        <v>3776077.9642000003</v>
      </c>
      <c r="F59" s="168">
        <v>3977207.6225999999</v>
      </c>
      <c r="G59" s="3">
        <f>'[6]Data 2009-11'!D10</f>
        <v>2949525.1749878968</v>
      </c>
      <c r="H59" s="3">
        <f>'[6]Data 2009-11'!E10</f>
        <v>1859749</v>
      </c>
      <c r="I59" s="3">
        <f>'[6]Data 2009-11'!F10</f>
        <v>1568574.6528388122</v>
      </c>
      <c r="J59" s="3">
        <f>'[10]DNSP Data Inputs 2012-15'!G10</f>
        <v>74072.104309416609</v>
      </c>
      <c r="K59" s="168">
        <v>0</v>
      </c>
      <c r="L59" s="168">
        <f>('[10]DNSP Data Inputs 2012-15'!I10)*L5</f>
        <v>0</v>
      </c>
      <c r="M59" s="168">
        <v>0</v>
      </c>
      <c r="N59" s="1">
        <f t="shared" ref="N59:N64" si="31">SUM(D59:M59)</f>
        <v>19091346.264136128</v>
      </c>
      <c r="O59" s="2">
        <f>AVERAGE(Quantities!D64:M64)</f>
        <v>306414.8560660301</v>
      </c>
      <c r="P59" s="151">
        <f>N59/O59</f>
        <v>62.305550420251443</v>
      </c>
    </row>
    <row r="60" spans="1:16" x14ac:dyDescent="0.25">
      <c r="B60" s="23" t="str">
        <f t="shared" si="30"/>
        <v>Manually read interval meters</v>
      </c>
      <c r="C60" s="23"/>
      <c r="D60" s="168">
        <v>395808</v>
      </c>
      <c r="E60" s="168">
        <v>150935.03210000001</v>
      </c>
      <c r="F60" s="168">
        <v>158974.46130000101</v>
      </c>
      <c r="G60" s="3">
        <f>'[6]Data 2009-11'!D11</f>
        <v>870338.00501210347</v>
      </c>
      <c r="H60" s="3">
        <f>'[6]Data 2009-11'!E11</f>
        <v>1141834</v>
      </c>
      <c r="I60" s="3">
        <f>'[6]Data 2009-11'!F11</f>
        <v>963017.75006437069</v>
      </c>
      <c r="J60" s="3">
        <f>'[10]DNSP Data Inputs 2012-15'!G11</f>
        <v>726212.07420881651</v>
      </c>
      <c r="K60" s="168">
        <f>'[10]DNSP Data Inputs 2012-15'!H11</f>
        <v>0</v>
      </c>
      <c r="L60" s="168">
        <f>('[10]DNSP Data Inputs 2012-15'!I11)*L5</f>
        <v>0</v>
      </c>
      <c r="M60" s="168">
        <v>0</v>
      </c>
      <c r="N60" s="1">
        <f t="shared" si="31"/>
        <v>4407119.322685292</v>
      </c>
      <c r="O60" s="2">
        <f>O59</f>
        <v>306414.8560660301</v>
      </c>
      <c r="P60" s="151">
        <f t="shared" ref="P60:P65" si="32">N60/O60</f>
        <v>14.38285133843377</v>
      </c>
    </row>
    <row r="61" spans="1:16" x14ac:dyDescent="0.25">
      <c r="B61" s="23" t="str">
        <f t="shared" si="30"/>
        <v>Remotely read interval meters &amp; transformers</v>
      </c>
      <c r="C61" s="23"/>
      <c r="D61" s="170"/>
      <c r="E61" s="170"/>
      <c r="F61" s="170"/>
      <c r="G61" s="3">
        <f>'[6]Data 2009-11'!D12</f>
        <v>4649474.5767002329</v>
      </c>
      <c r="H61" s="3">
        <f>'[6]Data 2009-11'!E12</f>
        <v>10378052</v>
      </c>
      <c r="I61" s="3">
        <f>'[6]Data 2009-11'!F12</f>
        <v>18304368.381029479</v>
      </c>
      <c r="J61" s="3">
        <f>'[10]DNSP Data Inputs 2012-15'!G12</f>
        <v>23740254.954135478</v>
      </c>
      <c r="K61" s="168">
        <f>37426070.2800002-4700000</f>
        <v>32726070.280000202</v>
      </c>
      <c r="L61" s="168">
        <v>13336203.35</v>
      </c>
      <c r="M61" s="168">
        <v>298000</v>
      </c>
      <c r="N61" s="1">
        <f t="shared" si="31"/>
        <v>103432423.54186538</v>
      </c>
      <c r="O61" s="2">
        <f t="shared" ref="O61:O65" si="33">O60</f>
        <v>306414.8560660301</v>
      </c>
      <c r="P61" s="151">
        <f t="shared" si="32"/>
        <v>337.55681715241792</v>
      </c>
    </row>
    <row r="62" spans="1:16" x14ac:dyDescent="0.25">
      <c r="B62" s="23" t="str">
        <f t="shared" si="30"/>
        <v>IT</v>
      </c>
      <c r="C62" s="23"/>
      <c r="D62" s="168">
        <v>0</v>
      </c>
      <c r="E62" s="168">
        <v>0</v>
      </c>
      <c r="F62" s="168">
        <v>0</v>
      </c>
      <c r="G62" s="3">
        <f>'[6]Data 2009-11'!D13</f>
        <v>25683196.395000003</v>
      </c>
      <c r="H62" s="3">
        <f>'[6]Data 2009-11'!E13</f>
        <v>5083617</v>
      </c>
      <c r="I62" s="3">
        <f>'[6]Data 2009-11'!F13</f>
        <v>285916.66200000001</v>
      </c>
      <c r="J62" s="3">
        <f>'[10]DNSP Data Inputs 2012-15'!G13</f>
        <v>499072.1998</v>
      </c>
      <c r="K62" s="168">
        <v>828274.08000000007</v>
      </c>
      <c r="L62" s="168">
        <v>3451502.21</v>
      </c>
      <c r="M62" s="168">
        <v>6278000</v>
      </c>
      <c r="N62" s="1">
        <f t="shared" si="31"/>
        <v>42109578.546800002</v>
      </c>
      <c r="O62" s="2">
        <f t="shared" si="33"/>
        <v>306414.8560660301</v>
      </c>
      <c r="P62" s="151">
        <f t="shared" si="32"/>
        <v>137.42668709811414</v>
      </c>
    </row>
    <row r="63" spans="1:16" x14ac:dyDescent="0.25">
      <c r="B63" s="23" t="str">
        <f t="shared" si="30"/>
        <v>Communications</v>
      </c>
      <c r="C63" s="23"/>
      <c r="D63" s="168">
        <v>0</v>
      </c>
      <c r="E63" s="168">
        <v>0</v>
      </c>
      <c r="F63" s="168">
        <v>0</v>
      </c>
      <c r="G63" s="3">
        <f>'[6]Data 2009-11'!D14</f>
        <v>135135.01257138891</v>
      </c>
      <c r="H63" s="3">
        <f>'[6]Data 2009-11'!E14</f>
        <v>346256</v>
      </c>
      <c r="I63" s="3">
        <f>'[6]Data 2009-11'!F14</f>
        <v>1190171.4880017799</v>
      </c>
      <c r="J63" s="3">
        <f>'[10]DNSP Data Inputs 2012-15'!G14</f>
        <v>1703483.594085244</v>
      </c>
      <c r="K63" s="168">
        <v>3142129.74</v>
      </c>
      <c r="L63" s="168">
        <v>708578.41</v>
      </c>
      <c r="M63" s="168">
        <v>684000</v>
      </c>
      <c r="N63" s="1">
        <f t="shared" si="31"/>
        <v>7909754.2446584133</v>
      </c>
      <c r="O63" s="2">
        <f t="shared" si="33"/>
        <v>306414.8560660301</v>
      </c>
      <c r="P63" s="151">
        <f t="shared" si="32"/>
        <v>25.81387321166282</v>
      </c>
    </row>
    <row r="64" spans="1:16" x14ac:dyDescent="0.25">
      <c r="B64" s="23" t="str">
        <f t="shared" si="30"/>
        <v>Other</v>
      </c>
      <c r="C64" s="23"/>
      <c r="D64" s="168">
        <v>0</v>
      </c>
      <c r="E64" s="168">
        <v>0</v>
      </c>
      <c r="F64" s="168">
        <v>0</v>
      </c>
      <c r="G64" s="3">
        <f>'[6]Data 2009-11'!D15</f>
        <v>30147880.21572838</v>
      </c>
      <c r="H64" s="3">
        <f>'[6]Data 2009-11'!E15</f>
        <v>20836177</v>
      </c>
      <c r="I64" s="3">
        <f>'[6]Data 2009-11'!F15</f>
        <v>6750617</v>
      </c>
      <c r="J64" s="3">
        <f>'[10]DNSP Data Inputs 2012-15'!G15</f>
        <v>2752519.5332875773</v>
      </c>
      <c r="K64" s="168">
        <v>447185.83999999997</v>
      </c>
      <c r="L64" s="168">
        <v>0</v>
      </c>
      <c r="M64" s="168">
        <v>0</v>
      </c>
      <c r="N64" s="1">
        <f t="shared" si="31"/>
        <v>60934379.589015961</v>
      </c>
      <c r="O64" s="2">
        <f t="shared" si="33"/>
        <v>306414.8560660301</v>
      </c>
      <c r="P64" s="151">
        <f t="shared" si="32"/>
        <v>198.86235403640174</v>
      </c>
    </row>
    <row r="65" spans="2:16" x14ac:dyDescent="0.25">
      <c r="B65" s="94" t="str">
        <f t="shared" si="30"/>
        <v>Total</v>
      </c>
      <c r="C65" s="94"/>
      <c r="D65" s="18">
        <f>SUM(D58:D64)</f>
        <v>5281947.7452000007</v>
      </c>
      <c r="E65" s="18">
        <f t="shared" ref="E65:N65" si="34">SUM(E58:E64)</f>
        <v>3927012.9963000002</v>
      </c>
      <c r="F65" s="18">
        <f t="shared" si="34"/>
        <v>4136182.0839000009</v>
      </c>
      <c r="G65" s="18">
        <f t="shared" si="34"/>
        <v>64435549.380000003</v>
      </c>
      <c r="H65" s="18">
        <f t="shared" si="34"/>
        <v>39645685</v>
      </c>
      <c r="I65" s="18">
        <f t="shared" si="34"/>
        <v>29062665.933934443</v>
      </c>
      <c r="J65" s="18">
        <f t="shared" si="34"/>
        <v>29495614.459826529</v>
      </c>
      <c r="K65" s="18">
        <f t="shared" si="34"/>
        <v>37143659.940000206</v>
      </c>
      <c r="L65" s="18">
        <f t="shared" si="34"/>
        <v>17496283.969999999</v>
      </c>
      <c r="M65" s="18">
        <f t="shared" si="34"/>
        <v>7260000</v>
      </c>
      <c r="N65" s="18">
        <f t="shared" si="34"/>
        <v>237884601.50916117</v>
      </c>
      <c r="O65" s="2">
        <f t="shared" si="33"/>
        <v>306414.8560660301</v>
      </c>
      <c r="P65" s="151">
        <f t="shared" si="32"/>
        <v>776.3481332572818</v>
      </c>
    </row>
    <row r="66" spans="2:16" x14ac:dyDescent="0.25">
      <c r="B66" s="148" t="s">
        <v>127</v>
      </c>
      <c r="C66" s="23"/>
      <c r="D66" s="39">
        <f>D65/Quantities!D64</f>
        <v>18.465056039657266</v>
      </c>
      <c r="E66" s="39">
        <f>E65/Quantities!E64</f>
        <v>13.503660440285961</v>
      </c>
      <c r="F66" s="39">
        <f>F65/Quantities!F64</f>
        <v>14.008514756047175</v>
      </c>
      <c r="G66" s="39">
        <f>G65/Quantities!G64</f>
        <v>214.96071585127856</v>
      </c>
      <c r="H66" s="39">
        <f>H65/Quantities!H64</f>
        <v>129.82002867859589</v>
      </c>
      <c r="I66" s="39">
        <f>I65/Quantities!I64</f>
        <v>93.107791164011161</v>
      </c>
      <c r="J66" s="39">
        <f>J65/Quantities!J64</f>
        <v>93.857849192041158</v>
      </c>
      <c r="K66" s="39">
        <f>K65/Quantities!K64</f>
        <v>117.40325960068294</v>
      </c>
      <c r="L66" s="39">
        <f>L65/Quantities!L64</f>
        <v>54.622158304335102</v>
      </c>
      <c r="M66" s="39">
        <f>M65/Quantities!M64</f>
        <v>22.421933030263069</v>
      </c>
    </row>
    <row r="68" spans="2:16" x14ac:dyDescent="0.25">
      <c r="C68" s="162" t="s">
        <v>131</v>
      </c>
      <c r="D68" s="163"/>
      <c r="E68" s="153"/>
      <c r="F68" s="153"/>
      <c r="G68" s="153"/>
      <c r="H68" s="154"/>
      <c r="I68" s="182" t="s">
        <v>14</v>
      </c>
      <c r="J68" s="154"/>
      <c r="L68" s="3"/>
    </row>
    <row r="69" spans="2:16" x14ac:dyDescent="0.25">
      <c r="C69" s="155"/>
      <c r="D69" s="17"/>
      <c r="E69" s="17"/>
      <c r="F69" s="17"/>
      <c r="G69" s="17"/>
      <c r="H69" s="156"/>
      <c r="I69" s="178"/>
      <c r="J69" s="156"/>
      <c r="N69" s="1">
        <f>N59+N35+N23+N11+N47</f>
        <v>98154365.040287763</v>
      </c>
      <c r="O69" s="1">
        <f>O59+O35+O23+O11+O47</f>
        <v>2656649.3826978724</v>
      </c>
      <c r="P69" s="2">
        <f>N69/O69</f>
        <v>36.946676396043785</v>
      </c>
    </row>
    <row r="70" spans="2:16" x14ac:dyDescent="0.25">
      <c r="C70" s="164" t="s">
        <v>128</v>
      </c>
      <c r="D70" s="165" t="s">
        <v>129</v>
      </c>
      <c r="E70" s="165" t="s">
        <v>3</v>
      </c>
      <c r="F70" s="165" t="s">
        <v>130</v>
      </c>
      <c r="G70" s="165" t="s">
        <v>5</v>
      </c>
      <c r="H70" s="166" t="s">
        <v>6</v>
      </c>
      <c r="I70" s="179" t="s">
        <v>6</v>
      </c>
      <c r="J70" s="166" t="s">
        <v>6</v>
      </c>
      <c r="N70" s="1">
        <f t="shared" ref="N70:O75" si="35">N60+N36+N24+N12+N48</f>
        <v>52172437.55432348</v>
      </c>
      <c r="O70" s="1">
        <f t="shared" si="35"/>
        <v>2656649.3826978724</v>
      </c>
      <c r="P70" s="2">
        <f t="shared" ref="P70:P75" si="36">N70/O70</f>
        <v>19.638435502294808</v>
      </c>
    </row>
    <row r="71" spans="2:16" x14ac:dyDescent="0.25">
      <c r="C71" s="155"/>
      <c r="D71" s="17"/>
      <c r="E71" s="17"/>
      <c r="F71" s="17"/>
      <c r="G71" s="17"/>
      <c r="H71" s="156"/>
      <c r="I71" s="178"/>
      <c r="J71" s="166" t="s">
        <v>107</v>
      </c>
      <c r="N71" s="1">
        <f t="shared" si="35"/>
        <v>1117714244.7677436</v>
      </c>
      <c r="O71" s="1">
        <f t="shared" si="35"/>
        <v>2656649.3826978724</v>
      </c>
      <c r="P71" s="2">
        <f t="shared" si="36"/>
        <v>420.72328100469394</v>
      </c>
    </row>
    <row r="72" spans="2:16" x14ac:dyDescent="0.25">
      <c r="C72" s="155" t="s">
        <v>8</v>
      </c>
      <c r="D72" s="157">
        <f>P11+P12+P13</f>
        <v>364.92731477980266</v>
      </c>
      <c r="E72" s="157">
        <f>P14</f>
        <v>192.13150670489495</v>
      </c>
      <c r="F72" s="157">
        <f>P15</f>
        <v>12.869722010826917</v>
      </c>
      <c r="G72" s="157">
        <f>P16</f>
        <v>25.145975408079074</v>
      </c>
      <c r="H72" s="158">
        <f>SUM(D72:G72)</f>
        <v>595.07451890360346</v>
      </c>
      <c r="I72" s="180">
        <f>Opex!N37/O17</f>
        <v>276.09244267001446</v>
      </c>
      <c r="J72" s="176">
        <f>I72+H72</f>
        <v>871.16696157361798</v>
      </c>
      <c r="N72" s="1">
        <f t="shared" si="35"/>
        <v>476574836.71008241</v>
      </c>
      <c r="O72" s="1">
        <f t="shared" si="35"/>
        <v>2656649.3826978724</v>
      </c>
      <c r="P72" s="2">
        <f t="shared" si="36"/>
        <v>179.38943686506067</v>
      </c>
    </row>
    <row r="73" spans="2:16" x14ac:dyDescent="0.25">
      <c r="C73" s="155" t="s">
        <v>9</v>
      </c>
      <c r="D73" s="157">
        <f>P23+P24+P25</f>
        <v>557.21096770427562</v>
      </c>
      <c r="E73" s="157">
        <f>P26</f>
        <v>116.37182020239604</v>
      </c>
      <c r="F73" s="157">
        <f>P27</f>
        <v>61.829639040421533</v>
      </c>
      <c r="G73" s="157">
        <f>P28</f>
        <v>2.4455837520632491</v>
      </c>
      <c r="H73" s="158">
        <f t="shared" ref="H73:H78" si="37">SUM(D73:G73)</f>
        <v>737.85801069915647</v>
      </c>
      <c r="I73" s="180">
        <f>Opex!N68/O29</f>
        <v>243.66843531202107</v>
      </c>
      <c r="J73" s="176">
        <f t="shared" ref="J73:J78" si="38">I73+H73</f>
        <v>981.52644601117754</v>
      </c>
      <c r="N73" s="1">
        <f t="shared" si="35"/>
        <v>153658331.31062114</v>
      </c>
      <c r="O73" s="1">
        <f t="shared" si="35"/>
        <v>2656649.3826978724</v>
      </c>
      <c r="P73" s="2">
        <f t="shared" si="36"/>
        <v>57.839145922439535</v>
      </c>
    </row>
    <row r="74" spans="2:16" x14ac:dyDescent="0.25">
      <c r="C74" s="155" t="s">
        <v>11</v>
      </c>
      <c r="D74" s="157">
        <f>P35+P36+P37</f>
        <v>475.55060345023304</v>
      </c>
      <c r="E74" s="157">
        <f>P38</f>
        <v>148.56858073066019</v>
      </c>
      <c r="F74" s="157">
        <f>P39</f>
        <v>33.734026127529638</v>
      </c>
      <c r="G74" s="157">
        <f>P40</f>
        <v>0.34602885649512383</v>
      </c>
      <c r="H74" s="158">
        <f t="shared" si="37"/>
        <v>658.19923916491791</v>
      </c>
      <c r="I74" s="180">
        <f>Opex!N99/O41</f>
        <v>282.60396118444868</v>
      </c>
      <c r="J74" s="176">
        <f t="shared" si="38"/>
        <v>940.80320034936653</v>
      </c>
      <c r="N74" s="1">
        <f t="shared" si="35"/>
        <v>78916908.188842252</v>
      </c>
      <c r="O74" s="1">
        <f t="shared" si="35"/>
        <v>2656649.3826978724</v>
      </c>
      <c r="P74" s="2">
        <f t="shared" si="36"/>
        <v>29.70542846293883</v>
      </c>
    </row>
    <row r="75" spans="2:16" x14ac:dyDescent="0.25">
      <c r="C75" s="155" t="s">
        <v>10</v>
      </c>
      <c r="D75" s="157">
        <f>P47+P48+P49</f>
        <v>528.51396683747248</v>
      </c>
      <c r="E75" s="157">
        <f>P50</f>
        <v>262.26739088510755</v>
      </c>
      <c r="F75" s="157">
        <f>P51</f>
        <v>119.32698587608198</v>
      </c>
      <c r="G75" s="157">
        <f>P52</f>
        <v>0</v>
      </c>
      <c r="H75" s="158">
        <f t="shared" si="37"/>
        <v>910.10834359866192</v>
      </c>
      <c r="I75" s="180">
        <f>Opex!N130/O53</f>
        <v>448.04739483672745</v>
      </c>
      <c r="J75" s="176">
        <f t="shared" si="38"/>
        <v>1358.1557384353894</v>
      </c>
      <c r="N75" s="1">
        <f t="shared" si="35"/>
        <v>1977191123.5719008</v>
      </c>
      <c r="O75" s="1">
        <f t="shared" si="35"/>
        <v>2656649.3826978724</v>
      </c>
      <c r="P75" s="2">
        <f t="shared" si="36"/>
        <v>744.24240415347163</v>
      </c>
    </row>
    <row r="76" spans="2:16" x14ac:dyDescent="0.25">
      <c r="C76" s="155" t="s">
        <v>12</v>
      </c>
      <c r="D76" s="157">
        <f>P59+P60+P61</f>
        <v>414.24521891110317</v>
      </c>
      <c r="E76" s="157">
        <f>P62</f>
        <v>137.42668709811414</v>
      </c>
      <c r="F76" s="157">
        <f>P63</f>
        <v>25.81387321166282</v>
      </c>
      <c r="G76" s="157">
        <f>P64</f>
        <v>198.86235403640174</v>
      </c>
      <c r="H76" s="158">
        <f t="shared" si="37"/>
        <v>776.3481332572818</v>
      </c>
      <c r="I76" s="180">
        <f>Opex!N161/O65</f>
        <v>439.44876671546859</v>
      </c>
      <c r="J76" s="176">
        <f t="shared" si="38"/>
        <v>1215.7968999727505</v>
      </c>
    </row>
    <row r="77" spans="2:16" x14ac:dyDescent="0.25">
      <c r="C77" s="155"/>
      <c r="D77" s="157"/>
      <c r="E77" s="157"/>
      <c r="F77" s="157"/>
      <c r="G77" s="157"/>
      <c r="H77" s="158"/>
      <c r="I77" s="178"/>
      <c r="J77" s="176"/>
    </row>
    <row r="78" spans="2:16" x14ac:dyDescent="0.25">
      <c r="C78" s="159" t="s">
        <v>109</v>
      </c>
      <c r="D78" s="160">
        <f>P69+P70+P71</f>
        <v>477.30839290303254</v>
      </c>
      <c r="E78" s="160">
        <f>P72</f>
        <v>179.38943686506067</v>
      </c>
      <c r="F78" s="160">
        <f>P73</f>
        <v>57.839145922439535</v>
      </c>
      <c r="G78" s="160">
        <f>P74</f>
        <v>29.70542846293883</v>
      </c>
      <c r="H78" s="161">
        <f t="shared" si="37"/>
        <v>744.24240415347163</v>
      </c>
      <c r="I78" s="181">
        <f>(Opex!N37+Opex!N68+Opex!N99+Opex!N130+Opex!N161)/O75</f>
        <v>332.59332733477356</v>
      </c>
      <c r="J78" s="177">
        <f t="shared" si="38"/>
        <v>1076.8357314882451</v>
      </c>
    </row>
    <row r="80" spans="2:16" x14ac:dyDescent="0.25">
      <c r="C80" s="17"/>
    </row>
    <row r="81" spans="3:3" x14ac:dyDescent="0.25">
      <c r="C81" s="17"/>
    </row>
  </sheetData>
  <mergeCells count="1">
    <mergeCell ref="L6:M6"/>
  </mergeCells>
  <pageMargins left="0.70866141732283472" right="0.70866141732283472" top="0.74803149606299213" bottom="0.74803149606299213" header="0.31496062992125984" footer="0.31496062992125984"/>
  <pageSetup paperSize="8" scale="64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62"/>
  <sheetViews>
    <sheetView zoomScale="85" zoomScaleNormal="85" workbookViewId="0">
      <pane ySplit="7" topLeftCell="A158" activePane="bottomLeft" state="frozen"/>
      <selection pane="bottomLeft" activeCell="M162" sqref="M162"/>
    </sheetView>
  </sheetViews>
  <sheetFormatPr defaultRowHeight="15" x14ac:dyDescent="0.25"/>
  <cols>
    <col min="1" max="1" width="15.5703125" style="5" customWidth="1"/>
    <col min="2" max="2" width="60.42578125" style="2" bestFit="1" customWidth="1"/>
    <col min="3" max="3" width="21.140625" style="2" customWidth="1"/>
    <col min="4" max="13" width="13.5703125" style="2" customWidth="1"/>
    <col min="14" max="14" width="13.5703125" style="1" customWidth="1"/>
    <col min="15" max="15" width="17.5703125" style="2" customWidth="1"/>
    <col min="16" max="16" width="16.85546875" style="2" bestFit="1" customWidth="1"/>
    <col min="17" max="16384" width="9.140625" style="2"/>
  </cols>
  <sheetData>
    <row r="1" spans="1:15" x14ac:dyDescent="0.25">
      <c r="A1" s="4"/>
      <c r="C1" s="6"/>
    </row>
    <row r="2" spans="1:15" x14ac:dyDescent="0.25">
      <c r="C2" s="6"/>
      <c r="E2" s="30">
        <f>'[1]Economic Assum'!E4</f>
        <v>2007</v>
      </c>
      <c r="F2" s="30">
        <f>'[1]Economic Assum'!F4</f>
        <v>2008</v>
      </c>
      <c r="G2" s="30">
        <f>'[1]Economic Assum'!G4</f>
        <v>2009</v>
      </c>
      <c r="H2" s="30">
        <f>'[1]Economic Assum'!H4</f>
        <v>2010</v>
      </c>
      <c r="I2" s="30">
        <f>'[1]Economic Assum'!I4</f>
        <v>2011</v>
      </c>
      <c r="J2" s="30">
        <f>'[1]Economic Assum'!J4</f>
        <v>2012</v>
      </c>
      <c r="K2" s="30">
        <f>'[1]Economic Assum'!K4</f>
        <v>2013</v>
      </c>
      <c r="L2" s="30">
        <f>'[1]Economic Assum'!L4</f>
        <v>2014</v>
      </c>
      <c r="M2" s="30">
        <f>'[1]Economic Assum'!M4</f>
        <v>2015</v>
      </c>
    </row>
    <row r="3" spans="1:15" x14ac:dyDescent="0.25">
      <c r="B3" s="6" t="str">
        <f>'[1]Economic Assum'!B6</f>
        <v>CPI</v>
      </c>
      <c r="C3" s="6"/>
      <c r="D3" s="6"/>
      <c r="E3" s="31">
        <f>'[1]Economic Assum'!E6</f>
        <v>3.9385847797062556E-2</v>
      </c>
      <c r="F3" s="31">
        <f>'[1]Economic Assum'!F6</f>
        <v>1.862556197816323E-2</v>
      </c>
      <c r="G3" s="31">
        <f>'[2]Data 2009-15 (Real $2008)'!D144</f>
        <v>4.9810844892812067E-2</v>
      </c>
      <c r="H3" s="31">
        <f>'[2]Data 2009-15 (Real $2008)'!E144</f>
        <v>1.2612612612612484E-2</v>
      </c>
      <c r="I3" s="31">
        <f>'[2]Data 2009-15 (Real $2008)'!F144</f>
        <v>2.7876631079478242E-2</v>
      </c>
      <c r="J3" s="31">
        <f>'[2]Data 2009-15 (Real $2008)'!G144</f>
        <v>3.5199076745527913E-2</v>
      </c>
      <c r="K3" s="31">
        <f>'[2]Data 2009-15 (Real $2008)'!H144</f>
        <v>2.0040080160320661E-2</v>
      </c>
      <c r="L3" s="31">
        <f>'[2]Data 2009-15 (Real $2008)'!I144</f>
        <v>2.47E-2</v>
      </c>
      <c r="M3" s="31">
        <f>'[2]Data 2009-15 (Real $2008)'!J144</f>
        <v>2.47E-2</v>
      </c>
      <c r="N3" s="31"/>
      <c r="O3" s="12"/>
    </row>
    <row r="4" spans="1:15" x14ac:dyDescent="0.25">
      <c r="B4" s="2" t="s">
        <v>19</v>
      </c>
      <c r="D4" s="37"/>
      <c r="E4" s="29">
        <f>F4/(1+F3)</f>
        <v>0.98171500630517017</v>
      </c>
      <c r="F4" s="29">
        <v>1</v>
      </c>
      <c r="G4" s="29">
        <f t="shared" ref="G4:M4" si="0">F4*(1+G3)</f>
        <v>1.0498108448928121</v>
      </c>
      <c r="H4" s="29">
        <f t="shared" si="0"/>
        <v>1.0630517023959645</v>
      </c>
      <c r="I4" s="29">
        <f t="shared" si="0"/>
        <v>1.0926860025220682</v>
      </c>
      <c r="J4" s="29">
        <f t="shared" si="0"/>
        <v>1.1311475409836065</v>
      </c>
      <c r="K4" s="29">
        <f t="shared" si="0"/>
        <v>1.1538158283780675</v>
      </c>
      <c r="L4" s="29">
        <f t="shared" si="0"/>
        <v>1.1823150793390058</v>
      </c>
      <c r="M4" s="29">
        <f t="shared" si="0"/>
        <v>1.2115182617986793</v>
      </c>
      <c r="O4" s="12"/>
    </row>
    <row r="5" spans="1:15" x14ac:dyDescent="0.25">
      <c r="B5" s="6"/>
      <c r="C5" s="6"/>
      <c r="F5" s="32"/>
      <c r="G5" s="32"/>
      <c r="H5" s="32"/>
      <c r="I5" s="32"/>
      <c r="J5" s="32"/>
      <c r="K5" s="32"/>
      <c r="L5" s="32"/>
      <c r="M5" s="32"/>
      <c r="O5" s="12"/>
    </row>
    <row r="6" spans="1:15" x14ac:dyDescent="0.25">
      <c r="B6" s="5"/>
      <c r="C6" s="5"/>
      <c r="D6" s="202" t="s">
        <v>71</v>
      </c>
      <c r="E6" s="202"/>
      <c r="F6" s="202"/>
      <c r="G6" s="32"/>
      <c r="H6" s="32"/>
      <c r="I6" s="32"/>
      <c r="J6" s="32"/>
      <c r="K6" s="32"/>
      <c r="L6" s="32"/>
      <c r="M6" s="32"/>
      <c r="O6" s="25"/>
    </row>
    <row r="7" spans="1:15" s="8" customFormat="1" x14ac:dyDescent="0.25">
      <c r="A7" s="7" t="s">
        <v>7</v>
      </c>
      <c r="D7" s="8">
        <v>2006</v>
      </c>
      <c r="E7" s="8">
        <f>D7+1</f>
        <v>2007</v>
      </c>
      <c r="F7" s="8">
        <f t="shared" ref="F7:M7" si="1">E7+1</f>
        <v>2008</v>
      </c>
      <c r="G7" s="8">
        <f t="shared" si="1"/>
        <v>2009</v>
      </c>
      <c r="H7" s="8">
        <f t="shared" si="1"/>
        <v>2010</v>
      </c>
      <c r="I7" s="8">
        <f t="shared" si="1"/>
        <v>2011</v>
      </c>
      <c r="J7" s="8">
        <f t="shared" si="1"/>
        <v>2012</v>
      </c>
      <c r="K7" s="8">
        <f t="shared" si="1"/>
        <v>2013</v>
      </c>
      <c r="L7" s="8">
        <f t="shared" si="1"/>
        <v>2014</v>
      </c>
      <c r="M7" s="8">
        <f t="shared" si="1"/>
        <v>2015</v>
      </c>
      <c r="N7" s="9" t="s">
        <v>6</v>
      </c>
      <c r="O7" s="26"/>
    </row>
    <row r="8" spans="1:15" x14ac:dyDescent="0.25">
      <c r="A8" s="10" t="s">
        <v>8</v>
      </c>
    </row>
    <row r="9" spans="1:15" x14ac:dyDescent="0.25">
      <c r="A9" s="10"/>
      <c r="B9" s="19" t="s">
        <v>44</v>
      </c>
      <c r="C9" s="5"/>
    </row>
    <row r="10" spans="1:15" x14ac:dyDescent="0.25">
      <c r="A10" s="10"/>
      <c r="B10" s="87"/>
      <c r="C10" s="11"/>
      <c r="D10" s="1"/>
      <c r="E10" s="1"/>
      <c r="F10" s="1"/>
      <c r="G10" s="1"/>
      <c r="H10" s="1"/>
      <c r="I10" s="1"/>
      <c r="J10" s="1"/>
      <c r="K10" s="1"/>
      <c r="L10" s="1"/>
      <c r="M10" s="1"/>
      <c r="N10" s="1">
        <f>SUM(D10:M10)</f>
        <v>0</v>
      </c>
    </row>
    <row r="11" spans="1:15" x14ac:dyDescent="0.25">
      <c r="A11" s="10"/>
      <c r="B11" s="20" t="s">
        <v>34</v>
      </c>
      <c r="C11" s="11"/>
      <c r="D11" s="1">
        <f>'[7]Data 2006-08'!D105</f>
        <v>0</v>
      </c>
      <c r="E11" s="1">
        <f>'[7]Data 2006-08'!E105</f>
        <v>0</v>
      </c>
      <c r="F11" s="1">
        <f>'[7]Data 2006-08'!F105</f>
        <v>0</v>
      </c>
      <c r="G11" s="1"/>
      <c r="H11" s="1"/>
      <c r="I11" s="1"/>
      <c r="J11" s="1"/>
      <c r="K11" s="1"/>
      <c r="L11" s="1"/>
      <c r="M11" s="1"/>
    </row>
    <row r="12" spans="1:15" x14ac:dyDescent="0.25">
      <c r="A12" s="10"/>
      <c r="B12" s="20" t="s">
        <v>35</v>
      </c>
      <c r="C12" s="11"/>
      <c r="D12" s="1">
        <f>'[7]Data 2006-08'!D106</f>
        <v>0</v>
      </c>
      <c r="E12" s="1">
        <f>'[7]Data 2006-08'!E106</f>
        <v>0</v>
      </c>
      <c r="F12" s="1">
        <f>'[7]Data 2006-08'!F106</f>
        <v>0</v>
      </c>
      <c r="G12" s="1"/>
      <c r="H12" s="1"/>
      <c r="I12" s="1"/>
      <c r="J12" s="1"/>
      <c r="K12" s="1"/>
      <c r="L12" s="1"/>
      <c r="M12" s="1"/>
    </row>
    <row r="13" spans="1:15" x14ac:dyDescent="0.25">
      <c r="A13" s="10"/>
      <c r="B13" s="20" t="s">
        <v>36</v>
      </c>
      <c r="C13" s="11"/>
      <c r="D13" s="1">
        <f>'[7]Data 2006-08'!D107</f>
        <v>0</v>
      </c>
      <c r="E13" s="1">
        <f>'[7]Data 2006-08'!E107</f>
        <v>990000</v>
      </c>
      <c r="F13" s="1">
        <f>'[7]Data 2006-08'!F107</f>
        <v>1010000</v>
      </c>
      <c r="G13" s="1"/>
      <c r="H13" s="1"/>
      <c r="I13" s="1"/>
      <c r="J13" s="1"/>
      <c r="K13" s="1"/>
      <c r="L13" s="1"/>
      <c r="M13" s="1"/>
    </row>
    <row r="14" spans="1:15" x14ac:dyDescent="0.25">
      <c r="A14" s="10"/>
      <c r="B14" s="20" t="s">
        <v>37</v>
      </c>
      <c r="C14" s="11"/>
      <c r="D14" s="1">
        <f>'[7]Data 2006-08'!D108</f>
        <v>0</v>
      </c>
      <c r="E14" s="1">
        <f>'[7]Data 2006-08'!E108</f>
        <v>0</v>
      </c>
      <c r="F14" s="1">
        <f>'[7]Data 2006-08'!F108</f>
        <v>0</v>
      </c>
      <c r="G14" s="1"/>
      <c r="H14" s="1"/>
      <c r="I14" s="1"/>
      <c r="J14" s="1"/>
      <c r="K14" s="1"/>
      <c r="L14" s="1"/>
      <c r="M14" s="1"/>
    </row>
    <row r="15" spans="1:15" x14ac:dyDescent="0.25">
      <c r="A15" s="10"/>
      <c r="B15" s="20" t="s">
        <v>38</v>
      </c>
      <c r="C15" s="11"/>
      <c r="D15" s="1">
        <f>'[7]Data 2006-08'!D109</f>
        <v>0</v>
      </c>
      <c r="E15" s="1">
        <f>'[7]Data 2006-08'!E109</f>
        <v>0</v>
      </c>
      <c r="F15" s="1">
        <f>'[7]Data 2006-08'!F109</f>
        <v>0</v>
      </c>
      <c r="G15" s="1"/>
      <c r="H15" s="1"/>
      <c r="I15" s="1"/>
      <c r="J15" s="1"/>
      <c r="K15" s="1"/>
      <c r="L15" s="1"/>
      <c r="M15" s="1"/>
    </row>
    <row r="16" spans="1:15" x14ac:dyDescent="0.25">
      <c r="A16" s="10"/>
      <c r="B16" s="20" t="s">
        <v>39</v>
      </c>
      <c r="C16" s="11"/>
      <c r="D16" s="1">
        <f>'[7]Data 2006-08'!D110</f>
        <v>0</v>
      </c>
      <c r="E16" s="1">
        <f>'[7]Data 2006-08'!E110</f>
        <v>0</v>
      </c>
      <c r="F16" s="1">
        <f>'[7]Data 2006-08'!F110</f>
        <v>0</v>
      </c>
      <c r="G16" s="1"/>
      <c r="H16" s="1"/>
      <c r="I16" s="1"/>
      <c r="J16" s="1"/>
      <c r="K16" s="1"/>
      <c r="L16" s="1"/>
      <c r="M16" s="1"/>
    </row>
    <row r="17" spans="1:16" x14ac:dyDescent="0.25">
      <c r="A17" s="10"/>
      <c r="B17" s="20" t="s">
        <v>40</v>
      </c>
      <c r="C17" s="11"/>
      <c r="D17" s="1">
        <f>'[7]Data 2006-08'!D111</f>
        <v>0</v>
      </c>
      <c r="E17" s="1">
        <f>'[7]Data 2006-08'!E111</f>
        <v>0</v>
      </c>
      <c r="F17" s="1">
        <f>'[7]Data 2006-08'!F111</f>
        <v>0</v>
      </c>
      <c r="G17" s="1"/>
      <c r="H17" s="1"/>
      <c r="I17" s="1"/>
      <c r="J17" s="1"/>
      <c r="K17" s="1"/>
      <c r="L17" s="1"/>
      <c r="M17" s="1"/>
      <c r="O17" s="33"/>
      <c r="P17" s="36"/>
    </row>
    <row r="18" spans="1:16" x14ac:dyDescent="0.25">
      <c r="A18" s="10"/>
      <c r="B18" s="20" t="s">
        <v>41</v>
      </c>
      <c r="C18" s="12"/>
      <c r="D18" s="1">
        <f>'[7]Data 2006-08'!D112</f>
        <v>0</v>
      </c>
      <c r="E18" s="1">
        <f>'[7]Data 2006-08'!E112</f>
        <v>0</v>
      </c>
      <c r="F18" s="1">
        <f>'[7]Data 2006-08'!F112</f>
        <v>0</v>
      </c>
      <c r="G18" s="1"/>
      <c r="H18" s="1"/>
      <c r="I18" s="1"/>
      <c r="J18" s="1"/>
      <c r="K18" s="1"/>
      <c r="L18" s="1"/>
      <c r="M18" s="1"/>
    </row>
    <row r="19" spans="1:16" x14ac:dyDescent="0.25">
      <c r="B19" s="20" t="s">
        <v>42</v>
      </c>
      <c r="C19" s="12"/>
      <c r="D19" s="1">
        <f>'[7]Data 2006-08'!D113</f>
        <v>0</v>
      </c>
      <c r="E19" s="1">
        <f>'[7]Data 2006-08'!E113</f>
        <v>0</v>
      </c>
      <c r="F19" s="1">
        <f>'[7]Data 2006-08'!F113</f>
        <v>0</v>
      </c>
      <c r="G19" s="1"/>
      <c r="H19" s="1"/>
      <c r="I19" s="1"/>
      <c r="J19" s="1"/>
      <c r="K19" s="1"/>
      <c r="L19" s="1"/>
      <c r="M19" s="1"/>
      <c r="O19" s="33"/>
      <c r="P19" s="36"/>
    </row>
    <row r="20" spans="1:16" x14ac:dyDescent="0.25">
      <c r="B20" s="20" t="s">
        <v>43</v>
      </c>
      <c r="C20" s="12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6" x14ac:dyDescent="0.25">
      <c r="B21" s="86"/>
      <c r="C21" s="12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6" x14ac:dyDescent="0.25">
      <c r="B22" s="88" t="s">
        <v>54</v>
      </c>
      <c r="C22" s="1"/>
      <c r="D22" s="1"/>
      <c r="E22" s="107">
        <f>SUM(E11:E19)</f>
        <v>990000</v>
      </c>
      <c r="F22" s="107">
        <f>SUM(F11:F19)</f>
        <v>1010000</v>
      </c>
      <c r="G22" s="10"/>
      <c r="H22" s="10"/>
      <c r="I22" s="10"/>
      <c r="J22" s="1"/>
      <c r="K22" s="1"/>
      <c r="L22" s="1"/>
      <c r="M22" s="1"/>
    </row>
    <row r="23" spans="1:16" x14ac:dyDescent="0.25">
      <c r="B23" s="88"/>
      <c r="C23" s="1"/>
      <c r="D23" s="1"/>
      <c r="E23" s="10"/>
      <c r="F23" s="10"/>
      <c r="G23" s="10"/>
      <c r="H23" s="10"/>
      <c r="I23" s="10"/>
      <c r="J23" s="1"/>
      <c r="K23" s="1"/>
      <c r="L23" s="1"/>
      <c r="M23" s="1"/>
    </row>
    <row r="24" spans="1:16" x14ac:dyDescent="0.25">
      <c r="B24" s="19" t="s">
        <v>53</v>
      </c>
      <c r="C24" s="1"/>
      <c r="D24" s="1"/>
      <c r="E24" s="10"/>
      <c r="F24" s="10"/>
      <c r="G24" s="10"/>
      <c r="H24" s="10"/>
      <c r="I24" s="10"/>
      <c r="J24" s="1"/>
      <c r="K24" s="1"/>
      <c r="L24" s="1"/>
      <c r="M24" s="1"/>
    </row>
    <row r="25" spans="1:16" x14ac:dyDescent="0.25">
      <c r="B25" s="90"/>
      <c r="C25" s="1"/>
      <c r="D25" s="1"/>
      <c r="E25" s="10"/>
      <c r="F25" s="10"/>
      <c r="G25" s="10"/>
      <c r="H25" s="10"/>
      <c r="I25" s="10"/>
      <c r="J25" s="1"/>
      <c r="K25" s="1"/>
      <c r="L25" s="1"/>
      <c r="M25" s="1"/>
    </row>
    <row r="26" spans="1:16" x14ac:dyDescent="0.25">
      <c r="B26" s="92" t="s">
        <v>45</v>
      </c>
      <c r="C26" s="1"/>
      <c r="D26" s="1"/>
      <c r="E26" s="10"/>
      <c r="F26" s="10"/>
      <c r="G26" s="10"/>
      <c r="H26" s="10"/>
      <c r="I26" s="10"/>
      <c r="J26" s="1"/>
      <c r="K26" s="1"/>
      <c r="L26" s="1"/>
      <c r="M26" s="1"/>
    </row>
    <row r="27" spans="1:16" x14ac:dyDescent="0.25">
      <c r="B27" s="20" t="s">
        <v>46</v>
      </c>
      <c r="C27" s="1"/>
      <c r="D27" s="95">
        <f>'[7]Data 2006-08'!D40</f>
        <v>461000</v>
      </c>
      <c r="E27" s="95">
        <f>'[7]Data 2006-08'!E40</f>
        <v>404000</v>
      </c>
      <c r="F27" s="95">
        <f>'[7]Data 2006-08'!F40</f>
        <v>418000</v>
      </c>
      <c r="G27" s="10"/>
      <c r="H27" s="10"/>
      <c r="I27" s="10"/>
      <c r="J27" s="1"/>
      <c r="K27" s="1"/>
      <c r="L27" s="1"/>
      <c r="M27" s="1"/>
    </row>
    <row r="28" spans="1:16" x14ac:dyDescent="0.25">
      <c r="B28" s="20" t="s">
        <v>47</v>
      </c>
      <c r="C28" s="1"/>
      <c r="D28" s="95">
        <f>'[7]Data 2006-08'!D41</f>
        <v>424569.71921182267</v>
      </c>
      <c r="E28" s="95">
        <f>'[7]Data 2006-08'!E41</f>
        <v>394301.21365235752</v>
      </c>
      <c r="F28" s="95">
        <f>'[7]Data 2006-08'!F41</f>
        <v>364581.07375087967</v>
      </c>
      <c r="G28" s="10"/>
      <c r="H28" s="10"/>
      <c r="I28" s="10"/>
      <c r="J28" s="1"/>
      <c r="K28" s="1"/>
      <c r="L28" s="1"/>
      <c r="M28" s="1"/>
    </row>
    <row r="29" spans="1:16" x14ac:dyDescent="0.25">
      <c r="B29" s="20" t="s">
        <v>6</v>
      </c>
      <c r="C29" s="1"/>
      <c r="D29" s="95">
        <f>'[7]Data 2006-08'!D42</f>
        <v>885569.71921182261</v>
      </c>
      <c r="E29" s="95">
        <f>'[7]Data 2006-08'!E42</f>
        <v>798301.21365235746</v>
      </c>
      <c r="F29" s="95">
        <f>'[7]Data 2006-08'!F42</f>
        <v>782581.07375087962</v>
      </c>
      <c r="G29" s="10"/>
      <c r="H29" s="10"/>
      <c r="I29" s="10"/>
      <c r="J29" s="1"/>
      <c r="K29" s="1"/>
      <c r="L29" s="1"/>
      <c r="M29" s="1"/>
    </row>
    <row r="30" spans="1:16" x14ac:dyDescent="0.25">
      <c r="B30" s="91"/>
      <c r="C30" s="1"/>
      <c r="D30" s="95">
        <f>'[7]Data 2006-08'!D43</f>
        <v>0</v>
      </c>
      <c r="E30" s="95">
        <f>'[7]Data 2006-08'!E43</f>
        <v>0</v>
      </c>
      <c r="F30" s="95">
        <f>'[7]Data 2006-08'!F43</f>
        <v>0</v>
      </c>
      <c r="G30" s="10"/>
      <c r="H30" s="10"/>
      <c r="I30" s="10"/>
      <c r="J30" s="1"/>
      <c r="K30" s="1"/>
      <c r="L30" s="1"/>
      <c r="M30" s="1"/>
    </row>
    <row r="31" spans="1:16" x14ac:dyDescent="0.25">
      <c r="B31" s="92" t="s">
        <v>48</v>
      </c>
      <c r="C31" s="1"/>
      <c r="D31" s="95">
        <f>'[7]Data 2006-08'!D44</f>
        <v>0</v>
      </c>
      <c r="E31" s="95">
        <f>'[7]Data 2006-08'!E44</f>
        <v>0</v>
      </c>
      <c r="F31" s="95">
        <f>'[7]Data 2006-08'!F44</f>
        <v>0</v>
      </c>
      <c r="G31" s="10"/>
      <c r="H31" s="10"/>
      <c r="I31" s="10"/>
      <c r="J31" s="1"/>
      <c r="K31" s="1"/>
      <c r="L31" s="1"/>
      <c r="M31" s="1"/>
    </row>
    <row r="32" spans="1:16" x14ac:dyDescent="0.25">
      <c r="B32" s="20" t="s">
        <v>49</v>
      </c>
      <c r="C32" s="1"/>
      <c r="D32" s="95">
        <f>'[7]Data 2006-08'!D45</f>
        <v>6239647</v>
      </c>
      <c r="E32" s="95">
        <f>'[7]Data 2006-08'!E45</f>
        <v>6244802</v>
      </c>
      <c r="F32" s="95">
        <f>'[7]Data 2006-08'!F45</f>
        <v>6537381.6775821038</v>
      </c>
      <c r="G32" s="10"/>
      <c r="H32" s="10"/>
      <c r="I32" s="10"/>
      <c r="J32" s="1"/>
      <c r="K32" s="1"/>
      <c r="L32" s="1"/>
      <c r="M32" s="1"/>
    </row>
    <row r="33" spans="1:16" x14ac:dyDescent="0.25">
      <c r="B33" s="20" t="s">
        <v>50</v>
      </c>
      <c r="C33" s="1"/>
      <c r="D33" s="95">
        <f>'[7]Data 2006-08'!D46</f>
        <v>10783.280788177339</v>
      </c>
      <c r="E33" s="95">
        <f>'[7]Data 2006-08'!E46</f>
        <v>18896.786347642501</v>
      </c>
      <c r="F33" s="95">
        <f>'[7]Data 2006-08'!F46</f>
        <v>7417.9262491203353</v>
      </c>
      <c r="G33" s="10"/>
      <c r="H33" s="10"/>
      <c r="I33" s="10"/>
      <c r="J33" s="1"/>
      <c r="K33" s="1"/>
      <c r="L33" s="1"/>
      <c r="M33" s="1"/>
    </row>
    <row r="34" spans="1:16" x14ac:dyDescent="0.25">
      <c r="B34" s="20" t="s">
        <v>51</v>
      </c>
      <c r="C34" s="1"/>
      <c r="D34" s="95">
        <f>'[7]Data 2006-08'!D47</f>
        <v>0</v>
      </c>
      <c r="E34" s="95">
        <f>'[7]Data 2006-08'!E47</f>
        <v>0</v>
      </c>
      <c r="F34" s="95">
        <f>'[7]Data 2006-08'!F47</f>
        <v>0</v>
      </c>
      <c r="G34" s="10"/>
      <c r="H34" s="10"/>
      <c r="I34" s="10"/>
      <c r="J34" s="1"/>
      <c r="K34" s="1"/>
      <c r="L34" s="1"/>
      <c r="M34" s="1"/>
    </row>
    <row r="35" spans="1:16" x14ac:dyDescent="0.25">
      <c r="B35" s="20" t="s">
        <v>6</v>
      </c>
      <c r="C35" s="1"/>
      <c r="D35" s="95">
        <f>'[7]Data 2006-08'!D48</f>
        <v>6250430.2807881776</v>
      </c>
      <c r="E35" s="95">
        <f>'[7]Data 2006-08'!E48</f>
        <v>6263698.7863476425</v>
      </c>
      <c r="F35" s="95">
        <f>'[7]Data 2006-08'!F48</f>
        <v>6544799.6038312241</v>
      </c>
      <c r="G35" s="10"/>
      <c r="H35" s="10"/>
      <c r="I35" s="10"/>
      <c r="J35" s="1"/>
      <c r="K35" s="1"/>
      <c r="L35" s="1"/>
      <c r="M35" s="1"/>
    </row>
    <row r="36" spans="1:16" x14ac:dyDescent="0.25">
      <c r="B36" s="20"/>
      <c r="C36" s="1"/>
      <c r="D36" s="95">
        <f>'[7]Data 2006-08'!D49</f>
        <v>0</v>
      </c>
      <c r="E36" s="95">
        <f>'[7]Data 2006-08'!E49</f>
        <v>0</v>
      </c>
      <c r="F36" s="95">
        <f>'[7]Data 2006-08'!F49</f>
        <v>0</v>
      </c>
      <c r="G36" s="10"/>
      <c r="H36" s="10"/>
      <c r="I36" s="10"/>
      <c r="J36" s="1"/>
      <c r="K36" s="1"/>
      <c r="L36" s="1"/>
      <c r="M36" s="1"/>
    </row>
    <row r="37" spans="1:16" x14ac:dyDescent="0.25">
      <c r="B37" s="88" t="s">
        <v>52</v>
      </c>
      <c r="C37" s="1"/>
      <c r="D37" s="10">
        <f>'[7]Data 2006-08'!D50</f>
        <v>7136000</v>
      </c>
      <c r="E37" s="10">
        <f>'[7]Data 2006-08'!E50</f>
        <v>7062000</v>
      </c>
      <c r="F37" s="10">
        <f>'[7]Data 2006-08'!F50</f>
        <v>7327380.6775821038</v>
      </c>
      <c r="G37" s="107">
        <f>'[7]Data 2009-11'!D$55</f>
        <v>14023247.5320845</v>
      </c>
      <c r="H37" s="107">
        <f>'[7]Data 2009-11'!E$55</f>
        <v>16011951</v>
      </c>
      <c r="I37" s="107">
        <f>'[7]Data 2009-11'!F$55</f>
        <v>27357162.129999992</v>
      </c>
      <c r="J37" s="107">
        <f>'[7]DNSP Data Inputs 2012-15'!G$55</f>
        <v>28992776.890000001</v>
      </c>
      <c r="K37" s="107">
        <v>25888522.969999999</v>
      </c>
      <c r="L37" s="175">
        <v>23472992.433378</v>
      </c>
      <c r="M37" s="107">
        <f>20167.15113*1000</f>
        <v>20167151.129999999</v>
      </c>
      <c r="N37" s="1">
        <f>SUM(D37:M37)</f>
        <v>177439184.7630446</v>
      </c>
    </row>
    <row r="38" spans="1:16" s="15" customFormat="1" x14ac:dyDescent="0.25">
      <c r="A38" s="7"/>
      <c r="B38" s="13"/>
      <c r="C38" s="13"/>
      <c r="D38" s="14"/>
      <c r="E38" s="14"/>
      <c r="F38" s="14"/>
      <c r="G38" s="14"/>
      <c r="H38" s="14"/>
      <c r="I38" s="14"/>
      <c r="N38" s="14"/>
    </row>
    <row r="39" spans="1:16" s="17" customFormat="1" x14ac:dyDescent="0.25">
      <c r="A39" s="4"/>
      <c r="B39" s="16"/>
      <c r="C39" s="16"/>
      <c r="D39" s="3"/>
      <c r="E39" s="3"/>
      <c r="F39" s="3"/>
      <c r="G39" s="3"/>
      <c r="H39" s="3"/>
      <c r="I39" s="3"/>
      <c r="N39" s="3"/>
    </row>
    <row r="40" spans="1:16" s="17" customFormat="1" x14ac:dyDescent="0.25">
      <c r="A40" s="18" t="s">
        <v>9</v>
      </c>
      <c r="B40" s="19" t="str">
        <f>B9</f>
        <v>OPERATING &amp; MAINTENANCE EXPENDITURE (Pre Start Date)</v>
      </c>
      <c r="C40" s="19"/>
    </row>
    <row r="41" spans="1:16" s="17" customFormat="1" x14ac:dyDescent="0.25">
      <c r="A41" s="18"/>
      <c r="B41" s="20"/>
      <c r="C41" s="20"/>
      <c r="D41" s="3"/>
      <c r="E41" s="3"/>
      <c r="F41" s="3"/>
      <c r="G41" s="3"/>
      <c r="H41" s="3"/>
      <c r="I41" s="3"/>
      <c r="J41" s="3"/>
      <c r="K41" s="3"/>
      <c r="L41" s="3"/>
      <c r="M41" s="3"/>
      <c r="N41" s="1">
        <f>SUM(D41:M41)</f>
        <v>0</v>
      </c>
    </row>
    <row r="42" spans="1:16" s="17" customFormat="1" x14ac:dyDescent="0.25">
      <c r="A42" s="18"/>
      <c r="B42" s="20" t="str">
        <f t="shared" ref="B42:B51" si="2">B11</f>
        <v>Telecommunications systems - WAN / 'Backhaul'</v>
      </c>
      <c r="C42" s="20"/>
      <c r="D42" s="3">
        <f>'[8]Data 2006-08'!D105</f>
        <v>0</v>
      </c>
      <c r="E42" s="3">
        <f>'[8]Data 2006-08'!E105</f>
        <v>0</v>
      </c>
      <c r="F42" s="3">
        <f>'[8]Data 2006-08'!F105</f>
        <v>0</v>
      </c>
      <c r="G42" s="3"/>
      <c r="H42" s="3"/>
      <c r="I42" s="3"/>
      <c r="J42" s="3"/>
      <c r="K42" s="3"/>
      <c r="L42" s="3"/>
      <c r="M42" s="3"/>
      <c r="N42" s="1"/>
    </row>
    <row r="43" spans="1:16" s="17" customFormat="1" x14ac:dyDescent="0.25">
      <c r="A43" s="18"/>
      <c r="B43" s="20" t="str">
        <f t="shared" si="2"/>
        <v>IT systems</v>
      </c>
      <c r="C43" s="20"/>
      <c r="D43" s="3">
        <f>'[8]Data 2006-08'!D106</f>
        <v>0</v>
      </c>
      <c r="E43" s="3">
        <f>'[8]Data 2006-08'!E106</f>
        <v>499385.93479999999</v>
      </c>
      <c r="F43" s="3">
        <f>'[8]Data 2006-08'!F106</f>
        <v>1535317.135</v>
      </c>
      <c r="G43" s="3"/>
      <c r="H43" s="3"/>
      <c r="I43" s="3"/>
      <c r="J43" s="3"/>
      <c r="K43" s="3"/>
      <c r="L43" s="3"/>
      <c r="M43" s="3"/>
      <c r="N43" s="1"/>
    </row>
    <row r="44" spans="1:16" s="17" customFormat="1" x14ac:dyDescent="0.25">
      <c r="A44" s="18"/>
      <c r="B44" s="20" t="str">
        <f t="shared" si="2"/>
        <v>Technology trials</v>
      </c>
      <c r="C44" s="20"/>
      <c r="D44" s="3">
        <f>'[8]Data 2006-08'!D107</f>
        <v>60639.99</v>
      </c>
      <c r="E44" s="3">
        <f>'[8]Data 2006-08'!E107</f>
        <v>1664894.4995230739</v>
      </c>
      <c r="F44" s="3">
        <f>'[8]Data 2006-08'!F107</f>
        <v>2447.6852999999956</v>
      </c>
      <c r="G44" s="3"/>
      <c r="H44" s="3"/>
      <c r="I44" s="3"/>
      <c r="J44" s="3"/>
      <c r="K44" s="3"/>
      <c r="L44" s="3"/>
      <c r="M44" s="3"/>
      <c r="N44" s="1"/>
    </row>
    <row r="45" spans="1:16" s="17" customFormat="1" x14ac:dyDescent="0.25">
      <c r="A45" s="18"/>
      <c r="B45" s="20" t="str">
        <f t="shared" si="2"/>
        <v>Customer response trials</v>
      </c>
      <c r="C45" s="20"/>
      <c r="D45" s="3">
        <f>'[8]Data 2006-08'!D108</f>
        <v>0</v>
      </c>
      <c r="E45" s="3">
        <f>'[8]Data 2006-08'!E108</f>
        <v>0</v>
      </c>
      <c r="F45" s="3">
        <f>'[8]Data 2006-08'!F108</f>
        <v>0</v>
      </c>
      <c r="G45" s="3"/>
      <c r="H45" s="3"/>
      <c r="I45" s="3"/>
      <c r="J45" s="3"/>
      <c r="K45" s="3"/>
      <c r="L45" s="3"/>
      <c r="M45" s="3"/>
      <c r="N45" s="1"/>
    </row>
    <row r="46" spans="1:16" s="17" customFormat="1" x14ac:dyDescent="0.25">
      <c r="A46" s="18"/>
      <c r="B46" s="20" t="str">
        <f t="shared" si="2"/>
        <v>Project management including training and project office</v>
      </c>
      <c r="C46" s="20"/>
      <c r="D46" s="3">
        <f>'[8]Data 2006-08'!D109</f>
        <v>1213000</v>
      </c>
      <c r="E46" s="3">
        <f>'[8]Data 2006-08'!E109</f>
        <v>3501090.9819832309</v>
      </c>
      <c r="F46" s="3">
        <f>'[8]Data 2006-08'!F109</f>
        <v>7560461.2647709977</v>
      </c>
      <c r="G46" s="3"/>
      <c r="H46" s="3"/>
      <c r="I46" s="3"/>
      <c r="J46" s="3"/>
      <c r="K46" s="3"/>
      <c r="L46" s="3"/>
      <c r="M46" s="3"/>
      <c r="N46" s="1"/>
    </row>
    <row r="47" spans="1:16" s="17" customFormat="1" x14ac:dyDescent="0.25">
      <c r="A47" s="18"/>
      <c r="B47" s="20" t="str">
        <f t="shared" si="2"/>
        <v>Customer service costs</v>
      </c>
      <c r="C47" s="20"/>
      <c r="D47" s="3">
        <f>'[8]Data 2006-08'!D110</f>
        <v>0</v>
      </c>
      <c r="E47" s="3">
        <f>'[8]Data 2006-08'!E110</f>
        <v>0</v>
      </c>
      <c r="F47" s="3">
        <f>'[8]Data 2006-08'!F110</f>
        <v>0</v>
      </c>
      <c r="G47" s="3"/>
      <c r="H47" s="3"/>
      <c r="I47" s="3"/>
      <c r="J47" s="3"/>
      <c r="K47" s="3"/>
      <c r="L47" s="3"/>
      <c r="M47" s="3"/>
      <c r="N47" s="1"/>
    </row>
    <row r="48" spans="1:16" s="17" customFormat="1" x14ac:dyDescent="0.25">
      <c r="A48" s="18"/>
      <c r="B48" s="20" t="str">
        <f t="shared" si="2"/>
        <v>Other costs of provision of reg. services</v>
      </c>
      <c r="C48" s="20"/>
      <c r="D48" s="3">
        <f>'[8]Data 2006-08'!D111</f>
        <v>255024.31979254476</v>
      </c>
      <c r="E48" s="3">
        <f>'[8]Data 2006-08'!E111</f>
        <v>192338.65197024439</v>
      </c>
      <c r="F48" s="3">
        <f>'[8]Data 2006-08'!F111</f>
        <v>472803.03936028399</v>
      </c>
      <c r="G48" s="3"/>
      <c r="H48" s="3"/>
      <c r="I48" s="3"/>
      <c r="J48" s="3"/>
      <c r="K48" s="3"/>
      <c r="L48" s="3"/>
      <c r="M48" s="3"/>
      <c r="N48" s="1"/>
      <c r="O48" s="34"/>
      <c r="P48" s="36"/>
    </row>
    <row r="49" spans="1:16" s="17" customFormat="1" x14ac:dyDescent="0.25">
      <c r="A49" s="18"/>
      <c r="B49" s="20" t="str">
        <f t="shared" si="2"/>
        <v>Indirect costs</v>
      </c>
      <c r="C49" s="16"/>
      <c r="D49" s="3">
        <f>'[8]Data 2006-08'!D112</f>
        <v>0</v>
      </c>
      <c r="E49" s="3">
        <f>'[8]Data 2006-08'!E112</f>
        <v>0</v>
      </c>
      <c r="F49" s="3">
        <f>'[8]Data 2006-08'!F112</f>
        <v>0</v>
      </c>
      <c r="G49" s="3"/>
      <c r="H49" s="3"/>
      <c r="I49" s="3"/>
      <c r="J49" s="3"/>
      <c r="K49" s="3"/>
      <c r="L49" s="3"/>
      <c r="M49" s="3"/>
      <c r="N49" s="1"/>
      <c r="P49" s="2"/>
    </row>
    <row r="50" spans="1:16" s="17" customFormat="1" x14ac:dyDescent="0.25">
      <c r="A50" s="4"/>
      <c r="B50" s="20" t="str">
        <f t="shared" si="2"/>
        <v>Funding:  - Equity raising</v>
      </c>
      <c r="C50" s="19"/>
      <c r="D50" s="3">
        <f>'[8]Data 2006-08'!D113</f>
        <v>0</v>
      </c>
      <c r="E50" s="3">
        <f>'[8]Data 2006-08'!E113</f>
        <v>0</v>
      </c>
      <c r="F50" s="3">
        <f>'[8]Data 2006-08'!F113</f>
        <v>0</v>
      </c>
      <c r="G50" s="3"/>
      <c r="H50" s="3"/>
      <c r="I50" s="3"/>
      <c r="J50" s="3"/>
      <c r="K50" s="3"/>
      <c r="L50" s="3"/>
      <c r="M50" s="3"/>
      <c r="N50" s="1"/>
      <c r="O50" s="34"/>
      <c r="P50" s="36"/>
    </row>
    <row r="51" spans="1:16" s="17" customFormat="1" x14ac:dyDescent="0.25">
      <c r="A51" s="4"/>
      <c r="B51" s="20" t="str">
        <f t="shared" si="2"/>
        <v xml:space="preserve">                 - Interest and exchange rate hedging costs</v>
      </c>
      <c r="C51" s="19"/>
      <c r="D51" s="3">
        <f>'[8]Data 2006-08'!D114</f>
        <v>0</v>
      </c>
      <c r="E51" s="3">
        <f>'[8]Data 2006-08'!E114</f>
        <v>0</v>
      </c>
      <c r="F51" s="3">
        <f>'[8]Data 2006-08'!F114</f>
        <v>0</v>
      </c>
      <c r="G51" s="3"/>
      <c r="H51" s="3"/>
      <c r="I51" s="3"/>
      <c r="J51" s="3"/>
      <c r="K51" s="3"/>
      <c r="L51" s="3"/>
      <c r="M51" s="3"/>
      <c r="N51" s="3"/>
    </row>
    <row r="52" spans="1:16" s="17" customFormat="1" x14ac:dyDescent="0.25">
      <c r="A52" s="4"/>
      <c r="B52" s="20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6" s="17" customFormat="1" x14ac:dyDescent="0.25">
      <c r="A53" s="4"/>
      <c r="B53" s="89" t="str">
        <f>B22</f>
        <v>Total Pre State Date O&amp;M</v>
      </c>
      <c r="C53" s="1"/>
      <c r="D53" s="105">
        <f>SUM(D42:D51)</f>
        <v>1528664.3097925447</v>
      </c>
      <c r="E53" s="105">
        <f t="shared" ref="E53:F53" si="3">SUM(E42:E51)</f>
        <v>5857710.0682765488</v>
      </c>
      <c r="F53" s="105">
        <f t="shared" si="3"/>
        <v>9571029.1244312823</v>
      </c>
      <c r="J53" s="3"/>
      <c r="K53" s="3"/>
      <c r="L53" s="3"/>
      <c r="M53" s="3"/>
      <c r="N53" s="3"/>
    </row>
    <row r="54" spans="1:16" s="17" customFormat="1" x14ac:dyDescent="0.25">
      <c r="A54" s="4"/>
      <c r="B54" s="89">
        <f t="shared" ref="B54:B68" si="4">B23</f>
        <v>0</v>
      </c>
      <c r="C54" s="1"/>
      <c r="D54" s="18"/>
      <c r="E54" s="18"/>
      <c r="F54" s="18"/>
      <c r="G54" s="3"/>
      <c r="H54" s="3"/>
      <c r="I54" s="3"/>
      <c r="J54" s="3"/>
      <c r="K54" s="3"/>
      <c r="L54" s="3"/>
      <c r="M54" s="3"/>
      <c r="N54" s="3"/>
    </row>
    <row r="55" spans="1:16" s="17" customFormat="1" x14ac:dyDescent="0.25">
      <c r="A55" s="4"/>
      <c r="B55" s="89" t="str">
        <f t="shared" si="4"/>
        <v>O &amp; M EXPENDITURE</v>
      </c>
      <c r="C55" s="1"/>
      <c r="D55" s="18"/>
      <c r="E55" s="18"/>
      <c r="F55" s="18"/>
      <c r="G55" s="3"/>
      <c r="H55" s="3"/>
      <c r="I55" s="3"/>
      <c r="J55" s="3"/>
      <c r="K55" s="3"/>
      <c r="L55" s="3"/>
      <c r="M55" s="3"/>
      <c r="N55" s="3"/>
    </row>
    <row r="56" spans="1:16" s="17" customFormat="1" x14ac:dyDescent="0.25">
      <c r="A56" s="4"/>
      <c r="B56" s="89">
        <f t="shared" si="4"/>
        <v>0</v>
      </c>
      <c r="C56" s="1"/>
      <c r="D56" s="18"/>
      <c r="E56" s="18"/>
      <c r="F56" s="18"/>
      <c r="G56" s="3"/>
      <c r="H56" s="3"/>
      <c r="I56" s="3"/>
      <c r="J56" s="3"/>
      <c r="K56" s="3"/>
      <c r="L56" s="3"/>
      <c r="M56" s="3"/>
      <c r="N56" s="3"/>
    </row>
    <row r="57" spans="1:16" s="17" customFormat="1" x14ac:dyDescent="0.25">
      <c r="A57" s="4"/>
      <c r="B57" s="89" t="str">
        <f t="shared" si="4"/>
        <v>Maintenance costs</v>
      </c>
      <c r="C57" s="1"/>
      <c r="D57" s="18"/>
      <c r="E57" s="18"/>
      <c r="F57" s="18"/>
      <c r="G57" s="3"/>
      <c r="H57" s="3"/>
      <c r="I57" s="3"/>
      <c r="J57" s="3"/>
      <c r="K57" s="3"/>
      <c r="L57" s="3"/>
      <c r="M57" s="3"/>
      <c r="N57" s="3"/>
    </row>
    <row r="58" spans="1:16" s="17" customFormat="1" x14ac:dyDescent="0.25">
      <c r="A58" s="4"/>
      <c r="B58" s="22" t="str">
        <f t="shared" si="4"/>
        <v>Standard metering (accumulation meters and interval meters)</v>
      </c>
      <c r="C58" s="1"/>
      <c r="D58" s="27">
        <f>'[8]Data 2006-08'!D40</f>
        <v>845937.06489649508</v>
      </c>
      <c r="E58" s="27">
        <f>'[8]Data 2006-08'!E40</f>
        <v>996010.34727968555</v>
      </c>
      <c r="F58" s="27">
        <f>'[8]Data 2006-08'!F40</f>
        <v>707136.82785838749</v>
      </c>
      <c r="G58" s="3"/>
      <c r="H58" s="3"/>
      <c r="I58" s="3"/>
      <c r="J58" s="3"/>
      <c r="K58" s="3"/>
      <c r="L58" s="3"/>
      <c r="M58" s="3"/>
      <c r="N58" s="3"/>
    </row>
    <row r="59" spans="1:16" s="17" customFormat="1" x14ac:dyDescent="0.25">
      <c r="A59" s="4"/>
      <c r="B59" s="22" t="str">
        <f t="shared" si="4"/>
        <v>Metering data services (IT related)</v>
      </c>
      <c r="C59" s="1"/>
      <c r="D59" s="27">
        <f>'[8]Data 2006-08'!D41</f>
        <v>1239098.503989053</v>
      </c>
      <c r="E59" s="27">
        <f>'[8]Data 2006-08'!E41</f>
        <v>1212055.5811555262</v>
      </c>
      <c r="F59" s="27">
        <f>'[8]Data 2006-08'!F41</f>
        <v>884890.27122668817</v>
      </c>
      <c r="G59" s="3"/>
      <c r="H59" s="3"/>
      <c r="I59" s="3"/>
      <c r="J59" s="3"/>
      <c r="K59" s="3"/>
      <c r="L59" s="3"/>
      <c r="M59" s="3"/>
      <c r="N59" s="3"/>
    </row>
    <row r="60" spans="1:16" s="17" customFormat="1" x14ac:dyDescent="0.25">
      <c r="A60" s="4"/>
      <c r="B60" s="22" t="str">
        <f t="shared" si="4"/>
        <v>Total</v>
      </c>
      <c r="C60" s="1"/>
      <c r="D60" s="27">
        <f>'[8]Data 2006-08'!D42</f>
        <v>2085035.568885548</v>
      </c>
      <c r="E60" s="27">
        <f>'[8]Data 2006-08'!E42</f>
        <v>2208065.928435212</v>
      </c>
      <c r="F60" s="27">
        <f>'[8]Data 2006-08'!F42</f>
        <v>1592027.0990850758</v>
      </c>
      <c r="G60" s="3"/>
      <c r="H60" s="3"/>
      <c r="I60" s="3"/>
      <c r="J60" s="3"/>
      <c r="K60" s="3"/>
      <c r="L60" s="3"/>
      <c r="M60" s="3"/>
      <c r="N60" s="3"/>
    </row>
    <row r="61" spans="1:16" s="17" customFormat="1" x14ac:dyDescent="0.25">
      <c r="A61" s="4"/>
      <c r="B61" s="89">
        <f t="shared" si="4"/>
        <v>0</v>
      </c>
      <c r="C61" s="1"/>
      <c r="D61" s="27">
        <f>'[8]Data 2006-08'!D43</f>
        <v>0</v>
      </c>
      <c r="E61" s="27">
        <f>'[8]Data 2006-08'!E43</f>
        <v>0</v>
      </c>
      <c r="F61" s="27">
        <f>'[8]Data 2006-08'!F43</f>
        <v>0</v>
      </c>
      <c r="G61" s="3"/>
      <c r="H61" s="3"/>
      <c r="I61" s="3"/>
      <c r="J61" s="3"/>
      <c r="K61" s="3"/>
      <c r="L61" s="3"/>
      <c r="M61" s="3"/>
      <c r="N61" s="3"/>
    </row>
    <row r="62" spans="1:16" s="17" customFormat="1" x14ac:dyDescent="0.25">
      <c r="A62" s="4"/>
      <c r="B62" s="89" t="str">
        <f t="shared" si="4"/>
        <v>Operating costs</v>
      </c>
      <c r="C62" s="1"/>
      <c r="D62" s="27">
        <f>'[8]Data 2006-08'!D44</f>
        <v>0</v>
      </c>
      <c r="E62" s="27">
        <f>'[8]Data 2006-08'!E44</f>
        <v>0</v>
      </c>
      <c r="F62" s="27">
        <f>'[8]Data 2006-08'!F44</f>
        <v>0</v>
      </c>
      <c r="G62" s="3"/>
      <c r="H62" s="3"/>
      <c r="I62" s="3"/>
      <c r="J62" s="3"/>
      <c r="K62" s="3"/>
      <c r="L62" s="3"/>
      <c r="M62" s="3"/>
      <c r="N62" s="3"/>
    </row>
    <row r="63" spans="1:16" s="17" customFormat="1" x14ac:dyDescent="0.25">
      <c r="A63" s="4"/>
      <c r="B63" s="22" t="str">
        <f t="shared" si="4"/>
        <v>Metering data services</v>
      </c>
      <c r="C63" s="1"/>
      <c r="D63" s="27">
        <f>'[8]Data 2006-08'!D45</f>
        <v>4990149.8962514158</v>
      </c>
      <c r="E63" s="27">
        <f>'[8]Data 2006-08'!E45</f>
        <v>4950865.0806182912</v>
      </c>
      <c r="F63" s="27">
        <f>'[8]Data 2006-08'!F45</f>
        <v>5341167.6142753046</v>
      </c>
      <c r="G63" s="3"/>
      <c r="H63" s="3"/>
      <c r="I63" s="3"/>
      <c r="J63" s="3"/>
      <c r="K63" s="3"/>
      <c r="L63" s="3"/>
      <c r="M63" s="3"/>
      <c r="N63" s="3"/>
    </row>
    <row r="64" spans="1:16" s="17" customFormat="1" x14ac:dyDescent="0.25">
      <c r="A64" s="4"/>
      <c r="B64" s="22" t="str">
        <f t="shared" si="4"/>
        <v>Customer services (meter replacements)</v>
      </c>
      <c r="C64" s="1"/>
      <c r="D64" s="27">
        <f>'[8]Data 2006-08'!D46</f>
        <v>239142.0949747758</v>
      </c>
      <c r="E64" s="27">
        <f>'[8]Data 2006-08'!E46</f>
        <v>207431.66436038926</v>
      </c>
      <c r="F64" s="27">
        <f>'[8]Data 2006-08'!F46</f>
        <v>334398.38757395191</v>
      </c>
      <c r="G64" s="3"/>
      <c r="H64" s="3"/>
      <c r="I64" s="3"/>
      <c r="J64" s="3"/>
      <c r="K64" s="3"/>
      <c r="L64" s="3"/>
      <c r="M64" s="3"/>
      <c r="N64" s="3"/>
    </row>
    <row r="65" spans="1:16" s="17" customFormat="1" x14ac:dyDescent="0.25">
      <c r="A65" s="4"/>
      <c r="B65" s="22" t="str">
        <f t="shared" si="4"/>
        <v>Indirect Overheads</v>
      </c>
      <c r="C65" s="1"/>
      <c r="D65" s="27">
        <f>'[8]Data 2006-08'!D47</f>
        <v>113778.50490563316</v>
      </c>
      <c r="E65" s="27">
        <f>'[8]Data 2006-08'!E47</f>
        <v>97822.167596246582</v>
      </c>
      <c r="F65" s="27">
        <f>'[8]Data 2006-08'!F47</f>
        <v>39422.778339117649</v>
      </c>
      <c r="G65" s="3"/>
      <c r="H65" s="3"/>
      <c r="I65" s="3"/>
      <c r="J65" s="3"/>
      <c r="K65" s="3"/>
      <c r="L65" s="3"/>
      <c r="M65" s="3"/>
      <c r="N65" s="3"/>
    </row>
    <row r="66" spans="1:16" s="17" customFormat="1" x14ac:dyDescent="0.25">
      <c r="A66" s="4"/>
      <c r="B66" s="22" t="str">
        <f t="shared" si="4"/>
        <v>Total</v>
      </c>
      <c r="C66" s="1"/>
      <c r="D66" s="27">
        <f>'[8]Data 2006-08'!D48</f>
        <v>5343070.4961318243</v>
      </c>
      <c r="E66" s="27">
        <f>'[8]Data 2006-08'!E48</f>
        <v>5256118.9125749264</v>
      </c>
      <c r="F66" s="27">
        <f>'[8]Data 2006-08'!F48</f>
        <v>5714988.7801883742</v>
      </c>
      <c r="G66" s="3"/>
      <c r="H66" s="3"/>
      <c r="I66" s="3"/>
      <c r="J66" s="3"/>
      <c r="K66" s="3"/>
      <c r="L66" s="3"/>
      <c r="M66" s="3"/>
      <c r="N66" s="3"/>
    </row>
    <row r="67" spans="1:16" s="17" customFormat="1" x14ac:dyDescent="0.25">
      <c r="A67" s="4"/>
      <c r="B67" s="89">
        <f t="shared" si="4"/>
        <v>0</v>
      </c>
      <c r="C67" s="1"/>
      <c r="D67" s="27">
        <f>'[8]Data 2006-08'!D49</f>
        <v>0</v>
      </c>
      <c r="E67" s="27">
        <f>'[8]Data 2006-08'!E49</f>
        <v>0</v>
      </c>
      <c r="F67" s="27">
        <f>'[8]Data 2006-08'!F49</f>
        <v>0</v>
      </c>
      <c r="G67" s="3"/>
      <c r="H67" s="3"/>
      <c r="I67" s="3"/>
      <c r="J67" s="3"/>
      <c r="K67" s="3"/>
      <c r="L67" s="3"/>
      <c r="M67" s="3"/>
      <c r="N67" s="3"/>
    </row>
    <row r="68" spans="1:16" s="17" customFormat="1" x14ac:dyDescent="0.25">
      <c r="A68" s="4"/>
      <c r="B68" s="89" t="str">
        <f t="shared" si="4"/>
        <v>TOTAL O&amp;M Expenditure</v>
      </c>
      <c r="C68" s="1"/>
      <c r="D68" s="18">
        <f>'[8]Data 2006-08'!D50</f>
        <v>7428106.0650173724</v>
      </c>
      <c r="E68" s="18">
        <f>'[8]Data 2006-08'!E50</f>
        <v>7464184.8410101384</v>
      </c>
      <c r="F68" s="18">
        <f>'[8]Data 2006-08'!F50</f>
        <v>7307015.87927345</v>
      </c>
      <c r="G68" s="105">
        <f>'[8]Data 2009-11'!D$55</f>
        <v>24814068.844235312</v>
      </c>
      <c r="H68" s="105">
        <f>'[8]Data 2009-11'!E$55</f>
        <v>19953460.2551184</v>
      </c>
      <c r="I68" s="105">
        <f>'[8]Data 2009-11'!F$55</f>
        <v>26822517.64150586</v>
      </c>
      <c r="J68" s="105">
        <f>'[8]DNSP Data Inputs 2012-15'!$G$55</f>
        <v>22519258.547136702</v>
      </c>
      <c r="K68" s="167">
        <v>21941413.564735752</v>
      </c>
      <c r="L68" s="167">
        <v>18773606</v>
      </c>
      <c r="M68" s="167">
        <v>14046000</v>
      </c>
      <c r="N68" s="3">
        <f>SUM(D68:M68)</f>
        <v>171069631.63803297</v>
      </c>
    </row>
    <row r="69" spans="1:16" s="15" customFormat="1" x14ac:dyDescent="0.25">
      <c r="A69" s="7"/>
      <c r="B69" s="13"/>
      <c r="C69" s="13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</row>
    <row r="70" spans="1:16" s="17" customFormat="1" x14ac:dyDescent="0.25">
      <c r="A70" s="4"/>
      <c r="B70" s="16"/>
      <c r="C70" s="1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6" s="17" customFormat="1" x14ac:dyDescent="0.25">
      <c r="A71" s="18" t="s">
        <v>11</v>
      </c>
      <c r="B71" s="19" t="str">
        <f>B40</f>
        <v>OPERATING &amp; MAINTENANCE EXPENDITURE (Pre Start Date)</v>
      </c>
      <c r="C71" s="19"/>
    </row>
    <row r="72" spans="1:16" s="17" customFormat="1" x14ac:dyDescent="0.25">
      <c r="A72" s="4"/>
      <c r="B72" s="20"/>
      <c r="C72" s="20"/>
      <c r="D72" s="3"/>
      <c r="E72" s="3"/>
      <c r="F72" s="3"/>
      <c r="G72" s="3"/>
      <c r="H72" s="3"/>
      <c r="I72" s="3"/>
      <c r="J72" s="3"/>
      <c r="K72" s="3"/>
      <c r="L72" s="3"/>
      <c r="M72" s="3"/>
      <c r="N72" s="1"/>
    </row>
    <row r="73" spans="1:16" s="17" customFormat="1" x14ac:dyDescent="0.25">
      <c r="A73" s="4"/>
      <c r="B73" s="20" t="str">
        <f t="shared" ref="B73:B82" si="5">B42</f>
        <v>Telecommunications systems - WAN / 'Backhaul'</v>
      </c>
      <c r="C73" s="20"/>
      <c r="D73" s="3">
        <f>'[9]Data 2006-08'!D105</f>
        <v>0</v>
      </c>
      <c r="E73" s="3">
        <f>'[9]Data 2006-08'!E105</f>
        <v>0</v>
      </c>
      <c r="F73" s="3">
        <f>'[9]Data 2006-08'!F105</f>
        <v>0</v>
      </c>
      <c r="G73" s="3"/>
      <c r="H73" s="3"/>
      <c r="I73" s="3"/>
      <c r="J73" s="3"/>
      <c r="K73" s="3"/>
      <c r="L73" s="3"/>
      <c r="M73" s="3"/>
      <c r="N73" s="1"/>
    </row>
    <row r="74" spans="1:16" s="17" customFormat="1" x14ac:dyDescent="0.25">
      <c r="A74" s="4"/>
      <c r="B74" s="20" t="str">
        <f t="shared" si="5"/>
        <v>IT systems</v>
      </c>
      <c r="C74" s="20"/>
      <c r="D74" s="3">
        <f>'[9]Data 2006-08'!D106</f>
        <v>0</v>
      </c>
      <c r="E74" s="3">
        <f>'[9]Data 2006-08'!E106</f>
        <v>443789.3052</v>
      </c>
      <c r="F74" s="3">
        <f>'[9]Data 2006-08'!F106</f>
        <v>825053.65500000003</v>
      </c>
      <c r="G74" s="3"/>
      <c r="H74" s="3"/>
      <c r="I74" s="3"/>
      <c r="J74" s="3"/>
      <c r="K74" s="3"/>
      <c r="L74" s="3"/>
      <c r="M74" s="3"/>
      <c r="N74" s="1"/>
    </row>
    <row r="75" spans="1:16" s="17" customFormat="1" x14ac:dyDescent="0.25">
      <c r="A75" s="4"/>
      <c r="B75" s="20" t="str">
        <f t="shared" si="5"/>
        <v>Technology trials</v>
      </c>
      <c r="C75" s="20"/>
      <c r="D75" s="3">
        <f>'[9]Data 2006-08'!D107</f>
        <v>60206</v>
      </c>
      <c r="E75" s="3">
        <f>'[9]Data 2006-08'!E107</f>
        <v>741015.39533061057</v>
      </c>
      <c r="F75" s="3">
        <f>'[9]Data 2006-08'!F107</f>
        <v>1099.684699999998</v>
      </c>
      <c r="G75" s="3"/>
      <c r="H75" s="3"/>
      <c r="I75" s="3"/>
      <c r="J75" s="3"/>
      <c r="K75" s="3"/>
      <c r="L75" s="3"/>
      <c r="M75" s="3"/>
      <c r="N75" s="1"/>
    </row>
    <row r="76" spans="1:16" s="17" customFormat="1" x14ac:dyDescent="0.25">
      <c r="A76" s="4"/>
      <c r="B76" s="20" t="str">
        <f t="shared" si="5"/>
        <v>Customer response trials</v>
      </c>
      <c r="C76" s="20"/>
      <c r="D76" s="3">
        <f>'[9]Data 2006-08'!D108</f>
        <v>0</v>
      </c>
      <c r="E76" s="3">
        <f>'[9]Data 2006-08'!E108</f>
        <v>0</v>
      </c>
      <c r="F76" s="3">
        <f>'[9]Data 2006-08'!F108</f>
        <v>0</v>
      </c>
      <c r="G76" s="3"/>
      <c r="H76" s="3"/>
      <c r="I76" s="3"/>
      <c r="J76" s="3"/>
      <c r="K76" s="3"/>
      <c r="L76" s="3"/>
      <c r="M76" s="3"/>
      <c r="N76" s="1"/>
    </row>
    <row r="77" spans="1:16" s="17" customFormat="1" x14ac:dyDescent="0.25">
      <c r="A77" s="4"/>
      <c r="B77" s="20" t="str">
        <f t="shared" si="5"/>
        <v>Project management including training and project office</v>
      </c>
      <c r="C77" s="20"/>
      <c r="D77" s="3">
        <f>'[9]Data 2006-08'!D109</f>
        <v>410000</v>
      </c>
      <c r="E77" s="3">
        <f>'[9]Data 2006-08'!E109</f>
        <v>2080992.9337937138</v>
      </c>
      <c r="F77" s="3">
        <f>'[9]Data 2006-08'!F109</f>
        <v>3391789.6411290001</v>
      </c>
      <c r="G77" s="3"/>
      <c r="H77" s="3"/>
      <c r="I77" s="3"/>
      <c r="J77" s="3"/>
      <c r="K77" s="3"/>
      <c r="L77" s="3"/>
      <c r="M77" s="3"/>
      <c r="N77" s="1"/>
    </row>
    <row r="78" spans="1:16" s="17" customFormat="1" x14ac:dyDescent="0.25">
      <c r="A78" s="4"/>
      <c r="B78" s="20" t="str">
        <f t="shared" si="5"/>
        <v>Customer service costs</v>
      </c>
      <c r="C78" s="20"/>
      <c r="D78" s="3">
        <f>'[9]Data 2006-08'!D110</f>
        <v>0</v>
      </c>
      <c r="E78" s="3">
        <f>'[9]Data 2006-08'!E110</f>
        <v>0</v>
      </c>
      <c r="F78" s="3">
        <f>'[9]Data 2006-08'!F110</f>
        <v>0</v>
      </c>
      <c r="G78" s="3"/>
      <c r="H78" s="3"/>
      <c r="I78" s="3"/>
      <c r="J78" s="3"/>
      <c r="K78" s="3"/>
      <c r="L78" s="3"/>
      <c r="M78" s="3"/>
      <c r="N78" s="1"/>
    </row>
    <row r="79" spans="1:16" s="17" customFormat="1" x14ac:dyDescent="0.25">
      <c r="A79" s="4"/>
      <c r="B79" s="20" t="str">
        <f t="shared" si="5"/>
        <v>Other costs of provision of reg. services</v>
      </c>
      <c r="C79" s="20"/>
      <c r="D79" s="3">
        <f>'[9]Data 2006-08'!D111</f>
        <v>19948.303477362031</v>
      </c>
      <c r="E79" s="3">
        <f>'[9]Data 2006-08'!E111</f>
        <v>109701.09574678047</v>
      </c>
      <c r="F79" s="3">
        <f>'[9]Data 2006-08'!F111</f>
        <v>211709.50599313466</v>
      </c>
      <c r="G79" s="3"/>
      <c r="H79" s="3"/>
      <c r="I79" s="3"/>
      <c r="J79" s="3"/>
      <c r="K79" s="3"/>
      <c r="L79" s="3"/>
      <c r="M79" s="3"/>
      <c r="N79" s="1"/>
      <c r="O79" s="34"/>
      <c r="P79" s="36"/>
    </row>
    <row r="80" spans="1:16" s="17" customFormat="1" x14ac:dyDescent="0.25">
      <c r="A80" s="4"/>
      <c r="B80" s="20" t="str">
        <f t="shared" si="5"/>
        <v>Indirect costs</v>
      </c>
      <c r="D80" s="3">
        <f>'[9]Data 2006-08'!D112</f>
        <v>0</v>
      </c>
      <c r="E80" s="3">
        <f>'[9]Data 2006-08'!E112</f>
        <v>0</v>
      </c>
      <c r="F80" s="3">
        <f>'[9]Data 2006-08'!F112</f>
        <v>0</v>
      </c>
      <c r="G80" s="39"/>
      <c r="H80" s="39"/>
      <c r="I80" s="39"/>
      <c r="J80" s="39"/>
      <c r="K80" s="39"/>
      <c r="L80" s="39"/>
      <c r="M80" s="39"/>
      <c r="N80" s="1"/>
      <c r="P80" s="2"/>
    </row>
    <row r="81" spans="1:16" s="17" customFormat="1" x14ac:dyDescent="0.25">
      <c r="A81" s="4"/>
      <c r="B81" s="20" t="str">
        <f t="shared" si="5"/>
        <v>Funding:  - Equity raising</v>
      </c>
      <c r="C81" s="19"/>
      <c r="D81" s="3">
        <f>'[9]Data 2006-08'!D113</f>
        <v>0</v>
      </c>
      <c r="E81" s="3">
        <f>'[9]Data 2006-08'!E113</f>
        <v>0</v>
      </c>
      <c r="F81" s="3">
        <f>'[9]Data 2006-08'!F113</f>
        <v>0</v>
      </c>
      <c r="G81" s="3"/>
      <c r="H81" s="3"/>
      <c r="I81" s="3"/>
      <c r="J81" s="3"/>
      <c r="K81" s="3"/>
      <c r="L81" s="3"/>
      <c r="M81" s="3"/>
      <c r="N81" s="1"/>
      <c r="O81" s="34"/>
      <c r="P81" s="36"/>
    </row>
    <row r="82" spans="1:16" s="17" customFormat="1" x14ac:dyDescent="0.25">
      <c r="A82" s="4"/>
      <c r="B82" s="20" t="str">
        <f t="shared" si="5"/>
        <v xml:space="preserve">                 - Interest and exchange rate hedging costs</v>
      </c>
      <c r="C82" s="19"/>
      <c r="D82" s="3">
        <f>'[9]Data 2006-08'!D114</f>
        <v>0</v>
      </c>
      <c r="E82" s="3">
        <f>'[9]Data 2006-08'!E114</f>
        <v>0</v>
      </c>
      <c r="F82" s="3">
        <f>'[9]Data 2006-08'!F114</f>
        <v>0</v>
      </c>
      <c r="G82" s="3"/>
      <c r="H82" s="3"/>
      <c r="I82" s="3"/>
      <c r="J82" s="3"/>
      <c r="K82" s="3"/>
      <c r="L82" s="3"/>
      <c r="M82" s="3"/>
      <c r="N82" s="3"/>
    </row>
    <row r="83" spans="1:16" s="17" customFormat="1" x14ac:dyDescent="0.25">
      <c r="A83" s="4"/>
      <c r="B83" s="20"/>
      <c r="C83" s="19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6" s="17" customFormat="1" x14ac:dyDescent="0.25">
      <c r="A84" s="4"/>
      <c r="B84" s="89" t="str">
        <f>B53</f>
        <v>Total Pre State Date O&amp;M</v>
      </c>
      <c r="C84" s="1"/>
      <c r="D84" s="105">
        <f>SUM(D73:D82)</f>
        <v>490154.30347736203</v>
      </c>
      <c r="E84" s="105">
        <f t="shared" ref="E84:F84" si="6">SUM(E73:E82)</f>
        <v>3375498.7300711046</v>
      </c>
      <c r="F84" s="105">
        <f t="shared" si="6"/>
        <v>4429652.4868221348</v>
      </c>
      <c r="G84" s="3"/>
      <c r="H84" s="3"/>
      <c r="I84" s="3"/>
      <c r="J84" s="3"/>
      <c r="K84" s="3"/>
      <c r="L84" s="3"/>
      <c r="M84" s="3"/>
      <c r="N84" s="3"/>
    </row>
    <row r="85" spans="1:16" s="17" customFormat="1" x14ac:dyDescent="0.25">
      <c r="A85" s="4"/>
      <c r="B85" s="89">
        <f t="shared" ref="B85:B99" si="7">B54</f>
        <v>0</v>
      </c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6" s="17" customFormat="1" x14ac:dyDescent="0.25">
      <c r="A86" s="4"/>
      <c r="B86" s="89" t="str">
        <f t="shared" si="7"/>
        <v>O &amp; M EXPENDITURE</v>
      </c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6" s="17" customFormat="1" x14ac:dyDescent="0.25">
      <c r="A87" s="4"/>
      <c r="B87" s="89">
        <f t="shared" si="7"/>
        <v>0</v>
      </c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6" s="17" customFormat="1" x14ac:dyDescent="0.25">
      <c r="A88" s="4"/>
      <c r="B88" s="89" t="str">
        <f t="shared" si="7"/>
        <v>Maintenance costs</v>
      </c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6" s="17" customFormat="1" x14ac:dyDescent="0.25">
      <c r="A89" s="4"/>
      <c r="B89" s="22" t="str">
        <f t="shared" si="7"/>
        <v>Standard metering (accumulation meters and interval meters)</v>
      </c>
      <c r="C89" s="1"/>
      <c r="D89" s="3">
        <f>'[9]Data 2006-08'!D40</f>
        <v>411755.94</v>
      </c>
      <c r="E89" s="3">
        <f>'[9]Data 2006-08'!E40</f>
        <v>315784.24231606495</v>
      </c>
      <c r="F89" s="3">
        <f>'[9]Data 2006-08'!F40</f>
        <v>571552.17879175732</v>
      </c>
      <c r="G89" s="3"/>
      <c r="H89" s="3"/>
      <c r="I89" s="3"/>
      <c r="J89" s="3"/>
      <c r="K89" s="3"/>
      <c r="L89" s="3"/>
      <c r="M89" s="3"/>
      <c r="N89" s="3"/>
    </row>
    <row r="90" spans="1:16" s="17" customFormat="1" x14ac:dyDescent="0.25">
      <c r="A90" s="4"/>
      <c r="B90" s="22" t="str">
        <f t="shared" si="7"/>
        <v>Metering data services (IT related)</v>
      </c>
      <c r="C90" s="1"/>
      <c r="D90" s="3">
        <f>'[9]Data 2006-08'!D41</f>
        <v>1208340.4683129673</v>
      </c>
      <c r="E90" s="3">
        <f>'[9]Data 2006-08'!E41</f>
        <v>1109023.7347808881</v>
      </c>
      <c r="F90" s="3">
        <f>'[9]Data 2006-08'!F41</f>
        <v>792821.38780093018</v>
      </c>
      <c r="G90" s="3"/>
      <c r="H90" s="3"/>
      <c r="I90" s="3"/>
      <c r="J90" s="3"/>
      <c r="K90" s="3"/>
      <c r="L90" s="3"/>
      <c r="M90" s="3"/>
      <c r="N90" s="3"/>
    </row>
    <row r="91" spans="1:16" s="17" customFormat="1" x14ac:dyDescent="0.25">
      <c r="A91" s="4"/>
      <c r="B91" s="22" t="str">
        <f t="shared" si="7"/>
        <v>Total</v>
      </c>
      <c r="C91" s="1"/>
      <c r="D91" s="3">
        <f>'[9]Data 2006-08'!D42</f>
        <v>1620096.4083129673</v>
      </c>
      <c r="E91" s="3">
        <f>'[9]Data 2006-08'!E42</f>
        <v>1424807.977096953</v>
      </c>
      <c r="F91" s="3">
        <f>'[9]Data 2006-08'!F42</f>
        <v>1364373.5665926875</v>
      </c>
      <c r="G91" s="3"/>
      <c r="H91" s="3"/>
      <c r="I91" s="3"/>
      <c r="J91" s="3"/>
      <c r="K91" s="3"/>
      <c r="L91" s="3"/>
      <c r="M91" s="3"/>
      <c r="N91" s="3"/>
    </row>
    <row r="92" spans="1:16" s="17" customFormat="1" x14ac:dyDescent="0.25">
      <c r="A92" s="4"/>
      <c r="B92" s="89">
        <f t="shared" si="7"/>
        <v>0</v>
      </c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6" s="17" customFormat="1" x14ac:dyDescent="0.25">
      <c r="A93" s="4"/>
      <c r="B93" s="89" t="str">
        <f t="shared" si="7"/>
        <v>Operating costs</v>
      </c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6" s="17" customFormat="1" x14ac:dyDescent="0.25">
      <c r="A94" s="4"/>
      <c r="B94" s="22" t="str">
        <f t="shared" si="7"/>
        <v>Metering data services</v>
      </c>
      <c r="C94" s="1"/>
      <c r="D94" s="3">
        <f>'[9]Data 2006-08'!D45</f>
        <v>2624270.9656425477</v>
      </c>
      <c r="E94" s="3">
        <f>'[9]Data 2006-08'!E45</f>
        <v>1817982.1720956855</v>
      </c>
      <c r="F94" s="3">
        <f>'[9]Data 2006-08'!F45</f>
        <v>1883108.564998222</v>
      </c>
      <c r="G94" s="3"/>
      <c r="H94" s="3"/>
      <c r="I94" s="3"/>
      <c r="J94" s="3"/>
      <c r="K94" s="3"/>
      <c r="L94" s="3"/>
      <c r="M94" s="3"/>
      <c r="N94" s="3"/>
    </row>
    <row r="95" spans="1:16" s="17" customFormat="1" x14ac:dyDescent="0.25">
      <c r="A95" s="4"/>
      <c r="B95" s="22" t="str">
        <f t="shared" si="7"/>
        <v>Customer services (meter replacements)</v>
      </c>
      <c r="C95" s="1"/>
      <c r="D95" s="3">
        <f>'[9]Data 2006-08'!D46</f>
        <v>138089.61476245304</v>
      </c>
      <c r="E95" s="3">
        <f>'[9]Data 2006-08'!E46</f>
        <v>112945.3109408047</v>
      </c>
      <c r="F95" s="3">
        <f>'[9]Data 2006-08'!F46</f>
        <v>140797.07530660642</v>
      </c>
      <c r="G95" s="3"/>
      <c r="H95" s="3"/>
      <c r="I95" s="3"/>
      <c r="J95" s="3"/>
      <c r="K95" s="3"/>
      <c r="L95" s="3"/>
      <c r="M95" s="3"/>
      <c r="N95" s="3"/>
    </row>
    <row r="96" spans="1:16" s="17" customFormat="1" x14ac:dyDescent="0.25">
      <c r="A96" s="4"/>
      <c r="B96" s="22" t="str">
        <f>B65</f>
        <v>Indirect Overheads</v>
      </c>
      <c r="C96" s="1"/>
      <c r="D96" s="3">
        <f>'[9]Data 2006-08'!D47</f>
        <v>56659.89</v>
      </c>
      <c r="E96" s="3">
        <f>'[9]Data 2006-08'!E47</f>
        <v>51308.301870091993</v>
      </c>
      <c r="F96" s="3">
        <f>'[9]Data 2006-08'!F47</f>
        <v>39861.573089689482</v>
      </c>
      <c r="G96" s="3"/>
      <c r="H96" s="3"/>
      <c r="I96" s="3"/>
      <c r="J96" s="3"/>
      <c r="K96" s="3"/>
      <c r="L96" s="3"/>
      <c r="M96" s="3"/>
      <c r="N96" s="3"/>
    </row>
    <row r="97" spans="1:16" s="17" customFormat="1" x14ac:dyDescent="0.25">
      <c r="A97" s="4"/>
      <c r="B97" s="22" t="str">
        <f t="shared" si="7"/>
        <v>Total</v>
      </c>
      <c r="C97" s="1"/>
      <c r="D97" s="3">
        <f>'[9]Data 2006-08'!D48</f>
        <v>2819020.4704050007</v>
      </c>
      <c r="E97" s="3">
        <f>'[9]Data 2006-08'!E48</f>
        <v>1982235.7849065822</v>
      </c>
      <c r="F97" s="3">
        <f>'[9]Data 2006-08'!F48</f>
        <v>2063767.213394518</v>
      </c>
      <c r="G97" s="3"/>
      <c r="H97" s="3"/>
      <c r="I97" s="3"/>
      <c r="J97" s="3"/>
      <c r="K97" s="3"/>
      <c r="L97" s="3"/>
      <c r="M97" s="3"/>
      <c r="N97" s="3"/>
    </row>
    <row r="98" spans="1:16" s="17" customFormat="1" x14ac:dyDescent="0.25">
      <c r="A98" s="4"/>
      <c r="B98" s="89">
        <f t="shared" si="7"/>
        <v>0</v>
      </c>
      <c r="C98" s="1"/>
      <c r="D98" s="3">
        <f>'[9]Data 2006-08'!D49</f>
        <v>0</v>
      </c>
      <c r="E98" s="3">
        <f>'[9]Data 2006-08'!E49</f>
        <v>0</v>
      </c>
      <c r="F98" s="3">
        <f>'[9]Data 2006-08'!F49</f>
        <v>0</v>
      </c>
      <c r="G98" s="3"/>
      <c r="H98" s="3"/>
      <c r="I98" s="3"/>
      <c r="J98" s="3"/>
      <c r="K98" s="3"/>
      <c r="L98" s="3"/>
      <c r="M98" s="3"/>
      <c r="N98" s="3"/>
    </row>
    <row r="99" spans="1:16" s="17" customFormat="1" x14ac:dyDescent="0.25">
      <c r="A99" s="4"/>
      <c r="B99" s="89" t="str">
        <f t="shared" si="7"/>
        <v>TOTAL O&amp;M Expenditure</v>
      </c>
      <c r="C99" s="1"/>
      <c r="D99" s="18">
        <f>'[9]Data 2006-08'!D50</f>
        <v>4439116.8787179682</v>
      </c>
      <c r="E99" s="18">
        <f>'[9]Data 2006-08'!E50</f>
        <v>3407043.7620035354</v>
      </c>
      <c r="F99" s="18">
        <f>'[9]Data 2006-08'!F50</f>
        <v>3428140.7799872058</v>
      </c>
      <c r="G99" s="105">
        <f>'[9]Data 2009-11'!D$55</f>
        <v>12186311.267134894</v>
      </c>
      <c r="H99" s="105">
        <f>'[9]Data 2009-11'!E$55</f>
        <v>10053825.672141695</v>
      </c>
      <c r="I99" s="105">
        <f>'[9]Data 2009-11'!F$55</f>
        <v>13888721.791800356</v>
      </c>
      <c r="J99" s="105">
        <f>'[9]DNSP Data Inputs 2012-15'!G$55</f>
        <v>11690996.374198474</v>
      </c>
      <c r="K99" s="167">
        <v>9906119.7711957954</v>
      </c>
      <c r="L99" s="167">
        <v>9561182</v>
      </c>
      <c r="M99" s="167">
        <v>6997000</v>
      </c>
      <c r="N99" s="3">
        <f>SUM(D99:M99)</f>
        <v>85558458.297179922</v>
      </c>
    </row>
    <row r="100" spans="1:16" s="15" customFormat="1" x14ac:dyDescent="0.25">
      <c r="A100" s="7"/>
      <c r="B100" s="21"/>
      <c r="C100" s="21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</row>
    <row r="101" spans="1:16" s="17" customFormat="1" x14ac:dyDescent="0.25">
      <c r="A101" s="4"/>
      <c r="B101" s="19"/>
      <c r="C101" s="19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6" s="17" customFormat="1" x14ac:dyDescent="0.25">
      <c r="A102" s="18" t="s">
        <v>10</v>
      </c>
      <c r="B102" s="19" t="str">
        <f>B71</f>
        <v>OPERATING &amp; MAINTENANCE EXPENDITURE (Pre Start Date)</v>
      </c>
      <c r="C102" s="19"/>
      <c r="D102" s="18"/>
      <c r="E102" s="18"/>
      <c r="F102" s="18"/>
      <c r="G102" s="18"/>
      <c r="H102" s="18"/>
      <c r="I102" s="18"/>
      <c r="J102" s="27"/>
      <c r="K102" s="27"/>
      <c r="L102" s="27"/>
      <c r="M102" s="27"/>
      <c r="N102" s="18"/>
    </row>
    <row r="103" spans="1:16" s="17" customFormat="1" x14ac:dyDescent="0.25">
      <c r="A103" s="4"/>
      <c r="B103" s="22"/>
      <c r="C103" s="22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1"/>
    </row>
    <row r="104" spans="1:16" s="17" customFormat="1" x14ac:dyDescent="0.25">
      <c r="A104" s="4"/>
      <c r="B104" s="22" t="str">
        <f t="shared" ref="B104:B113" si="8">B73</f>
        <v>Telecommunications systems - WAN / 'Backhaul'</v>
      </c>
      <c r="C104" s="22"/>
      <c r="D104" s="27">
        <f>'[11]Data 2006-08'!D105</f>
        <v>0</v>
      </c>
      <c r="E104" s="27">
        <f>'[11]Data 2006-08'!E105</f>
        <v>0</v>
      </c>
      <c r="F104" s="27">
        <f>'[11]Data 2006-08'!F105</f>
        <v>0</v>
      </c>
      <c r="G104" s="27"/>
      <c r="H104" s="27"/>
      <c r="I104" s="27"/>
      <c r="J104" s="27"/>
      <c r="K104" s="27"/>
      <c r="L104" s="27"/>
      <c r="M104" s="27"/>
      <c r="N104" s="1"/>
    </row>
    <row r="105" spans="1:16" s="17" customFormat="1" x14ac:dyDescent="0.25">
      <c r="A105" s="4"/>
      <c r="B105" s="22" t="str">
        <f t="shared" si="8"/>
        <v>IT systems</v>
      </c>
      <c r="C105" s="22"/>
      <c r="D105" s="27">
        <f>'[11]Data 2006-08'!D106</f>
        <v>0</v>
      </c>
      <c r="E105" s="27">
        <f>'[11]Data 2006-08'!E106</f>
        <v>1559372</v>
      </c>
      <c r="F105" s="27">
        <f>'[11]Data 2006-08'!F106</f>
        <v>77435.960000000006</v>
      </c>
      <c r="G105" s="27"/>
      <c r="H105" s="27"/>
      <c r="I105" s="27"/>
      <c r="J105" s="27"/>
      <c r="K105" s="27"/>
      <c r="L105" s="27"/>
      <c r="M105" s="27"/>
      <c r="N105" s="1"/>
    </row>
    <row r="106" spans="1:16" s="17" customFormat="1" x14ac:dyDescent="0.25">
      <c r="A106" s="4"/>
      <c r="B106" s="22" t="str">
        <f t="shared" si="8"/>
        <v>Technology trials</v>
      </c>
      <c r="C106" s="22"/>
      <c r="D106" s="27">
        <f>'[11]Data 2006-08'!D107</f>
        <v>329755.78999999998</v>
      </c>
      <c r="E106" s="27">
        <f>'[11]Data 2006-08'!E107</f>
        <v>468319.97</v>
      </c>
      <c r="F106" s="27">
        <f>'[11]Data 2006-08'!F107</f>
        <v>1418069.36</v>
      </c>
      <c r="G106" s="27"/>
      <c r="H106" s="27"/>
      <c r="I106" s="27"/>
      <c r="J106" s="27"/>
      <c r="K106" s="27"/>
      <c r="L106" s="27"/>
      <c r="M106" s="27"/>
      <c r="N106" s="1"/>
    </row>
    <row r="107" spans="1:16" s="17" customFormat="1" x14ac:dyDescent="0.25">
      <c r="A107" s="4"/>
      <c r="B107" s="22" t="str">
        <f t="shared" si="8"/>
        <v>Customer response trials</v>
      </c>
      <c r="C107" s="22"/>
      <c r="D107" s="27">
        <f>'[11]Data 2006-08'!D108</f>
        <v>0</v>
      </c>
      <c r="E107" s="27">
        <f>'[11]Data 2006-08'!E108</f>
        <v>0</v>
      </c>
      <c r="F107" s="27">
        <f>'[11]Data 2006-08'!F108</f>
        <v>0</v>
      </c>
      <c r="G107" s="27"/>
      <c r="H107" s="27"/>
      <c r="I107" s="27"/>
      <c r="J107" s="27"/>
      <c r="K107" s="27"/>
      <c r="L107" s="27"/>
      <c r="M107" s="27"/>
      <c r="N107" s="1"/>
    </row>
    <row r="108" spans="1:16" s="17" customFormat="1" x14ac:dyDescent="0.25">
      <c r="A108" s="4"/>
      <c r="B108" s="22" t="str">
        <f t="shared" si="8"/>
        <v>Project management including training and project office</v>
      </c>
      <c r="C108" s="22"/>
      <c r="D108" s="27">
        <f>'[11]Data 2006-08'!D109</f>
        <v>697942.26</v>
      </c>
      <c r="E108" s="27">
        <f>'[11]Data 2006-08'!E109</f>
        <v>775965.75</v>
      </c>
      <c r="F108" s="27">
        <f>'[11]Data 2006-08'!F109</f>
        <v>4021295.64</v>
      </c>
      <c r="G108" s="27"/>
      <c r="H108" s="27"/>
      <c r="I108" s="27"/>
      <c r="J108" s="27"/>
      <c r="K108" s="27"/>
      <c r="L108" s="27"/>
      <c r="M108" s="27"/>
      <c r="N108" s="1"/>
    </row>
    <row r="109" spans="1:16" s="17" customFormat="1" x14ac:dyDescent="0.25">
      <c r="A109" s="4"/>
      <c r="B109" s="22" t="str">
        <f t="shared" si="8"/>
        <v>Customer service costs</v>
      </c>
      <c r="C109" s="22"/>
      <c r="D109" s="27">
        <f>'[11]Data 2006-08'!D110</f>
        <v>0</v>
      </c>
      <c r="E109" s="27">
        <f>'[11]Data 2006-08'!E110</f>
        <v>0</v>
      </c>
      <c r="F109" s="27">
        <f>'[11]Data 2006-08'!F110</f>
        <v>0</v>
      </c>
      <c r="G109" s="27"/>
      <c r="H109" s="27"/>
      <c r="I109" s="27"/>
      <c r="J109" s="27"/>
      <c r="K109" s="27"/>
      <c r="L109" s="27"/>
      <c r="M109" s="27"/>
      <c r="N109" s="1"/>
    </row>
    <row r="110" spans="1:16" s="17" customFormat="1" x14ac:dyDescent="0.25">
      <c r="A110" s="4"/>
      <c r="B110" s="22" t="str">
        <f t="shared" si="8"/>
        <v>Other costs of provision of reg. services</v>
      </c>
      <c r="C110" s="22"/>
      <c r="D110" s="27">
        <f>'[11]Data 2006-08'!D111</f>
        <v>0</v>
      </c>
      <c r="E110" s="27">
        <f>'[11]Data 2006-08'!E111</f>
        <v>556621</v>
      </c>
      <c r="F110" s="27">
        <f>'[11]Data 2006-08'!F111</f>
        <v>654359.875</v>
      </c>
      <c r="G110" s="27"/>
      <c r="H110" s="27"/>
      <c r="I110" s="27"/>
      <c r="J110" s="27"/>
      <c r="K110" s="27"/>
      <c r="L110" s="27"/>
      <c r="M110" s="27"/>
      <c r="N110" s="1"/>
      <c r="O110" s="34"/>
      <c r="P110" s="36"/>
    </row>
    <row r="111" spans="1:16" s="17" customFormat="1" x14ac:dyDescent="0.25">
      <c r="B111" s="22" t="str">
        <f t="shared" si="8"/>
        <v>Indirect costs</v>
      </c>
      <c r="D111" s="27">
        <f>'[11]Data 2006-08'!D112</f>
        <v>0</v>
      </c>
      <c r="E111" s="27">
        <f>'[11]Data 2006-08'!E112</f>
        <v>0</v>
      </c>
      <c r="F111" s="27">
        <f>'[11]Data 2006-08'!F112</f>
        <v>1837075.9995795637</v>
      </c>
      <c r="G111" s="40"/>
      <c r="H111" s="40"/>
      <c r="I111" s="40"/>
      <c r="J111" s="40"/>
      <c r="K111" s="40"/>
      <c r="L111" s="40"/>
      <c r="M111" s="40"/>
      <c r="N111" s="1"/>
      <c r="P111" s="2"/>
    </row>
    <row r="112" spans="1:16" s="17" customFormat="1" x14ac:dyDescent="0.25">
      <c r="A112" s="4"/>
      <c r="B112" s="22" t="str">
        <f t="shared" si="8"/>
        <v>Funding:  - Equity raising</v>
      </c>
      <c r="C112" s="19"/>
      <c r="D112" s="27">
        <f>'[11]Data 2006-08'!D113</f>
        <v>0</v>
      </c>
      <c r="E112" s="27">
        <f>'[11]Data 2006-08'!E113</f>
        <v>0</v>
      </c>
      <c r="F112" s="27">
        <f>'[11]Data 2006-08'!F113</f>
        <v>0</v>
      </c>
      <c r="G112" s="27"/>
      <c r="H112" s="27"/>
      <c r="I112" s="27"/>
      <c r="J112" s="27"/>
      <c r="K112" s="27"/>
      <c r="L112" s="27"/>
      <c r="M112" s="27"/>
      <c r="N112" s="1"/>
      <c r="O112" s="34"/>
      <c r="P112" s="36"/>
    </row>
    <row r="113" spans="1:16" s="17" customFormat="1" x14ac:dyDescent="0.25">
      <c r="A113" s="4"/>
      <c r="B113" s="22" t="str">
        <f t="shared" si="8"/>
        <v xml:space="preserve">                 - Interest and exchange rate hedging costs</v>
      </c>
      <c r="C113" s="19"/>
      <c r="D113" s="27">
        <f>'[11]Data 2006-08'!D114</f>
        <v>0</v>
      </c>
      <c r="E113" s="27">
        <f>'[11]Data 2006-08'!E114</f>
        <v>0</v>
      </c>
      <c r="F113" s="27">
        <f>'[11]Data 2006-08'!F114</f>
        <v>0</v>
      </c>
      <c r="G113" s="27"/>
      <c r="H113" s="27"/>
      <c r="I113" s="27"/>
      <c r="J113" s="27"/>
      <c r="K113" s="27"/>
      <c r="L113" s="27"/>
      <c r="M113" s="27"/>
      <c r="N113" s="1"/>
      <c r="O113" s="34"/>
      <c r="P113" s="36"/>
    </row>
    <row r="114" spans="1:16" s="17" customFormat="1" x14ac:dyDescent="0.25">
      <c r="A114" s="4"/>
      <c r="B114" s="22"/>
      <c r="C114" s="19"/>
      <c r="D114" s="27"/>
      <c r="E114" s="27"/>
      <c r="F114" s="27"/>
      <c r="G114" s="41"/>
      <c r="H114" s="41"/>
      <c r="I114" s="41"/>
      <c r="J114" s="41"/>
      <c r="K114" s="41"/>
      <c r="L114" s="41"/>
      <c r="M114" s="41"/>
      <c r="N114" s="10"/>
    </row>
    <row r="115" spans="1:16" s="17" customFormat="1" x14ac:dyDescent="0.25">
      <c r="A115" s="4"/>
      <c r="B115" s="89" t="str">
        <f>B84</f>
        <v>Total Pre State Date O&amp;M</v>
      </c>
      <c r="C115" s="1"/>
      <c r="D115" s="105">
        <f>SUM(D104:D113)</f>
        <v>1027698.05</v>
      </c>
      <c r="E115" s="105">
        <f t="shared" ref="E115:F115" si="9">SUM(E104:E113)</f>
        <v>3360278.7199999997</v>
      </c>
      <c r="F115" s="105">
        <f t="shared" si="9"/>
        <v>8008236.8345795637</v>
      </c>
      <c r="G115" s="5"/>
      <c r="H115" s="5"/>
      <c r="I115" s="5"/>
      <c r="J115" s="5"/>
      <c r="K115" s="5"/>
      <c r="L115" s="5"/>
      <c r="M115" s="5"/>
      <c r="N115" s="10"/>
    </row>
    <row r="116" spans="1:16" s="17" customFormat="1" x14ac:dyDescent="0.25">
      <c r="A116" s="4"/>
      <c r="B116" s="22">
        <f t="shared" ref="B116:B130" si="10">B85</f>
        <v>0</v>
      </c>
      <c r="C116" s="1"/>
      <c r="D116" s="35"/>
      <c r="E116" s="5"/>
      <c r="F116" s="5"/>
      <c r="G116" s="5"/>
      <c r="H116" s="5"/>
      <c r="I116" s="5"/>
      <c r="J116" s="5"/>
      <c r="K116" s="5"/>
      <c r="L116" s="5"/>
      <c r="M116" s="5"/>
      <c r="N116" s="10"/>
    </row>
    <row r="117" spans="1:16" s="17" customFormat="1" x14ac:dyDescent="0.25">
      <c r="A117" s="4"/>
      <c r="B117" s="89" t="str">
        <f t="shared" si="10"/>
        <v>O &amp; M EXPENDITURE</v>
      </c>
      <c r="C117" s="1"/>
      <c r="D117" s="35"/>
      <c r="E117" s="5"/>
      <c r="F117" s="5"/>
      <c r="G117" s="5"/>
      <c r="H117" s="5"/>
      <c r="I117" s="5"/>
      <c r="J117" s="5"/>
      <c r="K117" s="5"/>
      <c r="L117" s="5"/>
      <c r="M117" s="5"/>
      <c r="N117" s="10"/>
    </row>
    <row r="118" spans="1:16" s="17" customFormat="1" x14ac:dyDescent="0.25">
      <c r="A118" s="4"/>
      <c r="B118" s="22">
        <f t="shared" si="10"/>
        <v>0</v>
      </c>
      <c r="C118" s="1"/>
      <c r="D118" s="35"/>
      <c r="E118" s="5"/>
      <c r="F118" s="5"/>
      <c r="G118" s="5"/>
      <c r="H118" s="5"/>
      <c r="I118" s="5"/>
      <c r="J118" s="5"/>
      <c r="K118" s="5"/>
      <c r="L118" s="5"/>
      <c r="M118" s="5"/>
      <c r="N118" s="10"/>
    </row>
    <row r="119" spans="1:16" s="17" customFormat="1" x14ac:dyDescent="0.25">
      <c r="A119" s="4"/>
      <c r="B119" s="89" t="str">
        <f t="shared" si="10"/>
        <v>Maintenance costs</v>
      </c>
      <c r="C119" s="1"/>
      <c r="D119" s="35"/>
      <c r="E119" s="5"/>
      <c r="F119" s="5"/>
      <c r="G119" s="5"/>
      <c r="H119" s="5"/>
      <c r="I119" s="5"/>
      <c r="J119" s="5"/>
      <c r="K119" s="5"/>
      <c r="L119" s="5"/>
      <c r="M119" s="5"/>
      <c r="N119" s="10"/>
    </row>
    <row r="120" spans="1:16" s="17" customFormat="1" x14ac:dyDescent="0.25">
      <c r="A120" s="4"/>
      <c r="B120" s="22" t="str">
        <f t="shared" si="10"/>
        <v>Standard metering (accumulation meters and interval meters)</v>
      </c>
      <c r="C120" s="1"/>
      <c r="D120" s="96">
        <f>'[11]Data 2006-08'!D40</f>
        <v>196765.7254</v>
      </c>
      <c r="E120" s="96">
        <f>'[11]Data 2006-08'!E40</f>
        <v>517644.13400000002</v>
      </c>
      <c r="F120" s="96">
        <f>'[11]Data 2006-08'!F40</f>
        <v>490545.0344</v>
      </c>
      <c r="G120" s="5"/>
      <c r="H120" s="5"/>
      <c r="I120" s="5"/>
      <c r="J120" s="5"/>
      <c r="K120" s="5"/>
      <c r="L120" s="5"/>
      <c r="M120" s="5"/>
      <c r="N120" s="10"/>
    </row>
    <row r="121" spans="1:16" s="17" customFormat="1" x14ac:dyDescent="0.25">
      <c r="A121" s="4"/>
      <c r="B121" s="22" t="str">
        <f t="shared" si="10"/>
        <v>Metering data services (IT related)</v>
      </c>
      <c r="C121" s="1"/>
      <c r="D121" s="96">
        <f>'[11]Data 2006-08'!D41</f>
        <v>0</v>
      </c>
      <c r="E121" s="96">
        <f>'[11]Data 2006-08'!E41</f>
        <v>0</v>
      </c>
      <c r="F121" s="96">
        <f>'[11]Data 2006-08'!F41</f>
        <v>0</v>
      </c>
      <c r="G121" s="5"/>
      <c r="H121" s="5"/>
      <c r="I121" s="5"/>
      <c r="J121" s="5"/>
      <c r="K121" s="5"/>
      <c r="L121" s="5"/>
      <c r="M121" s="5"/>
      <c r="N121" s="10"/>
    </row>
    <row r="122" spans="1:16" s="17" customFormat="1" x14ac:dyDescent="0.25">
      <c r="A122" s="4"/>
      <c r="B122" s="22" t="str">
        <f t="shared" si="10"/>
        <v>Total</v>
      </c>
      <c r="C122" s="1"/>
      <c r="D122" s="35">
        <f>'[11]Data 2006-08'!D42</f>
        <v>196765.7254</v>
      </c>
      <c r="E122" s="35">
        <f>'[11]Data 2006-08'!E42</f>
        <v>517644.13400000002</v>
      </c>
      <c r="F122" s="35">
        <f>'[11]Data 2006-08'!F42</f>
        <v>490545.0344</v>
      </c>
      <c r="G122" s="5"/>
      <c r="H122" s="5"/>
      <c r="I122" s="5"/>
      <c r="J122" s="5"/>
      <c r="K122" s="5"/>
      <c r="L122" s="5"/>
      <c r="M122" s="5"/>
      <c r="N122" s="10"/>
    </row>
    <row r="123" spans="1:16" s="17" customFormat="1" x14ac:dyDescent="0.25">
      <c r="A123" s="4"/>
      <c r="B123" s="22">
        <f t="shared" si="10"/>
        <v>0</v>
      </c>
      <c r="C123" s="1"/>
      <c r="D123" s="96"/>
      <c r="E123" s="96"/>
      <c r="F123" s="96"/>
      <c r="G123" s="5"/>
      <c r="H123" s="5"/>
      <c r="I123" s="5"/>
      <c r="J123" s="5"/>
      <c r="K123" s="5"/>
      <c r="L123" s="5"/>
      <c r="M123" s="5"/>
      <c r="N123" s="10"/>
    </row>
    <row r="124" spans="1:16" s="17" customFormat="1" x14ac:dyDescent="0.25">
      <c r="A124" s="4"/>
      <c r="B124" s="89" t="str">
        <f t="shared" si="10"/>
        <v>Operating costs</v>
      </c>
      <c r="C124" s="1"/>
      <c r="D124" s="96"/>
      <c r="E124" s="96"/>
      <c r="F124" s="96"/>
      <c r="G124" s="5"/>
      <c r="H124" s="5"/>
      <c r="I124" s="5"/>
      <c r="J124" s="5"/>
      <c r="K124" s="5"/>
      <c r="L124" s="5"/>
      <c r="M124" s="5"/>
      <c r="N124" s="10"/>
    </row>
    <row r="125" spans="1:16" s="17" customFormat="1" x14ac:dyDescent="0.25">
      <c r="A125" s="4"/>
      <c r="B125" s="22" t="str">
        <f t="shared" si="10"/>
        <v>Metering data services</v>
      </c>
      <c r="C125" s="1"/>
      <c r="D125" s="96">
        <f>'[11]Data 2006-08'!D45</f>
        <v>8374116.0488559995</v>
      </c>
      <c r="E125" s="96">
        <f>'[11]Data 2006-08'!E45</f>
        <v>7403752.3311585048</v>
      </c>
      <c r="F125" s="96">
        <f>'[11]Data 2006-08'!F45</f>
        <v>9000552.3345711287</v>
      </c>
      <c r="G125" s="5"/>
      <c r="H125" s="5"/>
      <c r="I125" s="5"/>
      <c r="J125" s="5"/>
      <c r="K125" s="5"/>
      <c r="L125" s="5"/>
      <c r="M125" s="5"/>
      <c r="N125" s="10"/>
    </row>
    <row r="126" spans="1:16" s="17" customFormat="1" x14ac:dyDescent="0.25">
      <c r="A126" s="4"/>
      <c r="B126" s="22" t="str">
        <f t="shared" si="10"/>
        <v>Customer services (meter replacements)</v>
      </c>
      <c r="C126" s="1"/>
      <c r="D126" s="96">
        <f>'[11]Data 2006-08'!D46</f>
        <v>180441.21576354679</v>
      </c>
      <c r="E126" s="96">
        <f>'[11]Data 2006-08'!E46</f>
        <v>143458.41723118219</v>
      </c>
      <c r="F126" s="96">
        <f>'[11]Data 2006-08'!F46</f>
        <v>205691.66480831188</v>
      </c>
      <c r="G126" s="5"/>
      <c r="H126" s="5"/>
      <c r="I126" s="5"/>
      <c r="J126" s="5"/>
      <c r="K126" s="5"/>
      <c r="L126" s="5"/>
      <c r="M126" s="5"/>
      <c r="N126" s="10"/>
    </row>
    <row r="127" spans="1:16" s="17" customFormat="1" x14ac:dyDescent="0.25">
      <c r="A127" s="4"/>
      <c r="B127" s="22" t="str">
        <f t="shared" si="10"/>
        <v>Indirect Overheads</v>
      </c>
      <c r="C127" s="1"/>
      <c r="D127" s="96">
        <f>'[11]Data 2006-08'!D47</f>
        <v>2049635.5721609329</v>
      </c>
      <c r="E127" s="96">
        <f>'[11]Data 2006-08'!E47</f>
        <v>2907290.7879588599</v>
      </c>
      <c r="F127" s="96">
        <f>'[11]Data 2006-08'!F47</f>
        <v>3094360.020275455</v>
      </c>
      <c r="G127" s="5"/>
      <c r="H127" s="5"/>
      <c r="I127" s="5"/>
      <c r="J127" s="5"/>
      <c r="K127" s="5"/>
      <c r="L127" s="5"/>
      <c r="M127" s="5"/>
      <c r="N127" s="10"/>
    </row>
    <row r="128" spans="1:16" s="17" customFormat="1" x14ac:dyDescent="0.25">
      <c r="A128" s="4"/>
      <c r="B128" s="22" t="str">
        <f t="shared" si="10"/>
        <v>Total</v>
      </c>
      <c r="C128" s="1"/>
      <c r="D128" s="35">
        <f>'[11]Data 2006-08'!D48</f>
        <v>10604192.836780479</v>
      </c>
      <c r="E128" s="35">
        <f>'[11]Data 2006-08'!E48</f>
        <v>10454501.536348548</v>
      </c>
      <c r="F128" s="35">
        <f>'[11]Data 2006-08'!F48</f>
        <v>12300604.019654896</v>
      </c>
      <c r="G128" s="5"/>
      <c r="H128" s="5"/>
      <c r="I128" s="5"/>
      <c r="J128" s="5"/>
      <c r="K128" s="5"/>
      <c r="L128" s="5"/>
      <c r="M128" s="5"/>
      <c r="N128" s="10"/>
    </row>
    <row r="129" spans="1:16" s="17" customFormat="1" x14ac:dyDescent="0.25">
      <c r="A129" s="4"/>
      <c r="B129" s="22">
        <f t="shared" si="10"/>
        <v>0</v>
      </c>
      <c r="C129" s="1"/>
      <c r="D129" s="96"/>
      <c r="E129" s="96"/>
      <c r="F129" s="96"/>
      <c r="G129" s="5"/>
      <c r="H129" s="5"/>
      <c r="I129" s="5"/>
      <c r="J129" s="5"/>
      <c r="K129" s="5"/>
      <c r="L129" s="5"/>
      <c r="M129" s="5"/>
      <c r="N129" s="10"/>
    </row>
    <row r="130" spans="1:16" s="17" customFormat="1" x14ac:dyDescent="0.25">
      <c r="A130" s="4"/>
      <c r="B130" s="89" t="str">
        <f t="shared" si="10"/>
        <v>TOTAL O&amp;M Expenditure</v>
      </c>
      <c r="C130" s="1"/>
      <c r="D130" s="35">
        <f>'[11]Data 2006-08'!D50</f>
        <v>10800958.56218048</v>
      </c>
      <c r="E130" s="35">
        <f>'[11]Data 2006-08'!E50</f>
        <v>10972145.670348547</v>
      </c>
      <c r="F130" s="35">
        <f>'[11]Data 2006-08'!F50</f>
        <v>12791149.054054895</v>
      </c>
      <c r="G130" s="106">
        <f>'[11]Data 2009-11'!D$55</f>
        <v>27133020.450744912</v>
      </c>
      <c r="H130" s="106">
        <f>'[11]Data 2009-11'!E$55</f>
        <v>39809474.16262313</v>
      </c>
      <c r="I130" s="106">
        <f>'[11]Data 2009-11'!F$55</f>
        <v>42811168.404355973</v>
      </c>
      <c r="J130" s="106">
        <f>'[11]DNSP Data Inputs 2012-15'!G$55</f>
        <v>40190981.149277501</v>
      </c>
      <c r="K130" s="173">
        <v>40545055</v>
      </c>
      <c r="L130" s="173">
        <f>895000+45919000</f>
        <v>46814000</v>
      </c>
      <c r="M130" s="173">
        <v>42995000</v>
      </c>
      <c r="N130" s="10">
        <f>SUM(D130:M130)</f>
        <v>314862952.45358545</v>
      </c>
    </row>
    <row r="131" spans="1:16" s="15" customFormat="1" x14ac:dyDescent="0.25">
      <c r="A131" s="7"/>
      <c r="B131" s="93"/>
      <c r="C131" s="21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</row>
    <row r="132" spans="1:16" s="17" customFormat="1" x14ac:dyDescent="0.25">
      <c r="A132" s="4"/>
      <c r="B132" s="19"/>
      <c r="C132" s="19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6" s="17" customFormat="1" x14ac:dyDescent="0.25">
      <c r="A133" s="18" t="s">
        <v>12</v>
      </c>
      <c r="B133" s="24" t="str">
        <f t="shared" ref="B133:B161" si="11">B102</f>
        <v>OPERATING &amp; MAINTENANCE EXPENDITURE (Pre Start Date)</v>
      </c>
      <c r="C133" s="2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6" x14ac:dyDescent="0.25">
      <c r="B134" s="23"/>
      <c r="C134" s="2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6" x14ac:dyDescent="0.25">
      <c r="B135" s="23" t="str">
        <f t="shared" si="11"/>
        <v>Telecommunications systems - WAN / 'Backhaul'</v>
      </c>
      <c r="C135" s="23"/>
      <c r="D135" s="3">
        <f>'[10]Data 2006-08'!D105</f>
        <v>0</v>
      </c>
      <c r="E135" s="3">
        <f>'[10]Data 2006-08'!E105</f>
        <v>0</v>
      </c>
      <c r="F135" s="3">
        <f>'[10]Data 2006-08'!F105</f>
        <v>0</v>
      </c>
      <c r="G135" s="3"/>
      <c r="H135" s="3"/>
      <c r="I135" s="3"/>
      <c r="J135" s="3"/>
      <c r="K135" s="3"/>
      <c r="L135" s="3"/>
      <c r="M135" s="3"/>
    </row>
    <row r="136" spans="1:16" x14ac:dyDescent="0.25">
      <c r="B136" s="23" t="str">
        <f t="shared" si="11"/>
        <v>IT systems</v>
      </c>
      <c r="C136" s="23"/>
      <c r="D136" s="3">
        <f>'[10]Data 2006-08'!D106</f>
        <v>0</v>
      </c>
      <c r="E136" s="3">
        <f>'[10]Data 2006-08'!E106</f>
        <v>0</v>
      </c>
      <c r="F136" s="3">
        <f>'[10]Data 2006-08'!F106</f>
        <v>0</v>
      </c>
      <c r="G136" s="3"/>
      <c r="H136" s="3"/>
      <c r="I136" s="3"/>
      <c r="J136" s="3"/>
      <c r="K136" s="3"/>
      <c r="L136" s="3"/>
      <c r="M136" s="3"/>
    </row>
    <row r="137" spans="1:16" x14ac:dyDescent="0.25">
      <c r="B137" s="23" t="str">
        <f t="shared" si="11"/>
        <v>Technology trials</v>
      </c>
      <c r="C137" s="23"/>
      <c r="D137" s="3">
        <f>'[10]Data 2006-08'!D107</f>
        <v>0</v>
      </c>
      <c r="E137" s="3">
        <f>'[10]Data 2006-08'!E107</f>
        <v>0</v>
      </c>
      <c r="F137" s="3">
        <f>'[10]Data 2006-08'!F107</f>
        <v>0</v>
      </c>
      <c r="G137" s="3"/>
      <c r="H137" s="3"/>
      <c r="I137" s="3"/>
      <c r="J137" s="3"/>
      <c r="K137" s="3"/>
      <c r="L137" s="3"/>
      <c r="M137" s="3"/>
    </row>
    <row r="138" spans="1:16" x14ac:dyDescent="0.25">
      <c r="B138" s="23" t="str">
        <f t="shared" si="11"/>
        <v>Customer response trials</v>
      </c>
      <c r="C138" s="23"/>
      <c r="D138" s="3">
        <f>'[10]Data 2006-08'!D108</f>
        <v>0</v>
      </c>
      <c r="E138" s="3">
        <f>'[10]Data 2006-08'!E108</f>
        <v>0</v>
      </c>
      <c r="F138" s="3">
        <f>'[10]Data 2006-08'!F108</f>
        <v>0</v>
      </c>
      <c r="G138" s="3"/>
      <c r="H138" s="3"/>
      <c r="I138" s="3"/>
      <c r="J138" s="3"/>
      <c r="K138" s="3"/>
      <c r="L138" s="3"/>
      <c r="M138" s="3"/>
    </row>
    <row r="139" spans="1:16" x14ac:dyDescent="0.25">
      <c r="B139" s="23" t="str">
        <f t="shared" si="11"/>
        <v>Project management including training and project office</v>
      </c>
      <c r="C139" s="23"/>
      <c r="D139" s="3">
        <f>'[10]Data 2006-08'!D109</f>
        <v>0</v>
      </c>
      <c r="E139" s="3">
        <f>'[10]Data 2006-08'!E109</f>
        <v>0</v>
      </c>
      <c r="F139" s="3">
        <f>'[10]Data 2006-08'!F109</f>
        <v>0</v>
      </c>
      <c r="G139" s="3"/>
      <c r="H139" s="3"/>
      <c r="I139" s="3"/>
      <c r="J139" s="3"/>
      <c r="K139" s="3"/>
      <c r="L139" s="3"/>
      <c r="M139" s="3"/>
    </row>
    <row r="140" spans="1:16" x14ac:dyDescent="0.25">
      <c r="B140" s="23" t="str">
        <f t="shared" si="11"/>
        <v>Customer service costs</v>
      </c>
      <c r="C140" s="23"/>
      <c r="D140" s="3">
        <f>'[10]Data 2006-08'!D110</f>
        <v>0</v>
      </c>
      <c r="E140" s="3">
        <f>'[10]Data 2006-08'!E110</f>
        <v>0</v>
      </c>
      <c r="F140" s="3">
        <f>'[10]Data 2006-08'!F110</f>
        <v>0</v>
      </c>
      <c r="G140" s="3"/>
      <c r="H140" s="3"/>
      <c r="I140" s="3"/>
      <c r="J140" s="3"/>
      <c r="K140" s="3"/>
      <c r="L140" s="3"/>
      <c r="M140" s="3"/>
    </row>
    <row r="141" spans="1:16" x14ac:dyDescent="0.25">
      <c r="B141" s="23" t="str">
        <f t="shared" si="11"/>
        <v>Other costs of provision of reg. services</v>
      </c>
      <c r="C141" s="23"/>
      <c r="D141" s="3">
        <f>'[10]Data 2006-08'!D111</f>
        <v>0</v>
      </c>
      <c r="E141" s="3">
        <f>'[10]Data 2006-08'!E111</f>
        <v>0</v>
      </c>
      <c r="F141" s="3">
        <f>'[10]Data 2006-08'!F111</f>
        <v>0</v>
      </c>
      <c r="G141" s="3"/>
      <c r="H141" s="3"/>
      <c r="I141" s="3"/>
      <c r="J141" s="3"/>
      <c r="K141" s="3"/>
      <c r="L141" s="3"/>
      <c r="M141" s="3"/>
      <c r="O141" s="33"/>
      <c r="P141" s="36"/>
    </row>
    <row r="142" spans="1:16" x14ac:dyDescent="0.25">
      <c r="B142" s="23" t="str">
        <f t="shared" si="11"/>
        <v>Indirect costs</v>
      </c>
      <c r="C142" s="23"/>
      <c r="D142" s="3">
        <f>'[10]Data 2006-08'!D112</f>
        <v>0</v>
      </c>
      <c r="E142" s="3">
        <f>'[10]Data 2006-08'!E112</f>
        <v>0</v>
      </c>
      <c r="F142" s="3">
        <f>'[10]Data 2006-08'!F112</f>
        <v>0</v>
      </c>
      <c r="G142" s="39"/>
      <c r="H142" s="39"/>
      <c r="I142" s="39"/>
      <c r="J142" s="39"/>
      <c r="K142" s="39"/>
      <c r="L142" s="39"/>
      <c r="M142" s="39"/>
    </row>
    <row r="143" spans="1:16" x14ac:dyDescent="0.25">
      <c r="B143" s="23" t="str">
        <f t="shared" si="11"/>
        <v>Funding:  - Equity raising</v>
      </c>
      <c r="C143" s="19"/>
      <c r="D143" s="3">
        <f>'[10]Data 2006-08'!D113</f>
        <v>0</v>
      </c>
      <c r="E143" s="3">
        <f>'[10]Data 2006-08'!E113</f>
        <v>0</v>
      </c>
      <c r="F143" s="3">
        <f>'[10]Data 2006-08'!F113</f>
        <v>0</v>
      </c>
      <c r="G143" s="3"/>
      <c r="H143" s="3"/>
      <c r="I143" s="3"/>
      <c r="J143" s="3"/>
      <c r="K143" s="3"/>
      <c r="L143" s="3"/>
      <c r="M143" s="3"/>
      <c r="O143" s="33"/>
      <c r="P143" s="36"/>
    </row>
    <row r="144" spans="1:16" x14ac:dyDescent="0.25">
      <c r="B144" s="23" t="str">
        <f t="shared" si="11"/>
        <v xml:space="preserve">                 - Interest and exchange rate hedging costs</v>
      </c>
      <c r="D144" s="3">
        <f>'[10]Data 2006-08'!D114</f>
        <v>0</v>
      </c>
      <c r="E144" s="3">
        <f>'[10]Data 2006-08'!E114</f>
        <v>0</v>
      </c>
      <c r="F144" s="3">
        <f>'[10]Data 2006-08'!F114</f>
        <v>0</v>
      </c>
      <c r="G144" s="25"/>
      <c r="H144" s="25"/>
      <c r="I144" s="25"/>
      <c r="J144" s="25"/>
      <c r="K144" s="25"/>
      <c r="L144" s="25"/>
      <c r="M144" s="25"/>
    </row>
    <row r="145" spans="2:6" x14ac:dyDescent="0.25">
      <c r="B145" s="23"/>
      <c r="C145" s="1"/>
      <c r="D145" s="33"/>
    </row>
    <row r="146" spans="2:6" x14ac:dyDescent="0.25">
      <c r="B146" s="94" t="str">
        <f t="shared" si="11"/>
        <v>Total Pre State Date O&amp;M</v>
      </c>
      <c r="D146" s="108">
        <f>SUM(D135:D144)</f>
        <v>0</v>
      </c>
      <c r="E146" s="108">
        <f t="shared" ref="E146:F146" si="12">SUM(E135:E144)</f>
        <v>0</v>
      </c>
      <c r="F146" s="108">
        <f t="shared" si="12"/>
        <v>0</v>
      </c>
    </row>
    <row r="147" spans="2:6" x14ac:dyDescent="0.25">
      <c r="B147" s="23"/>
    </row>
    <row r="148" spans="2:6" x14ac:dyDescent="0.25">
      <c r="B148" s="94" t="str">
        <f t="shared" si="11"/>
        <v>O &amp; M EXPENDITURE</v>
      </c>
    </row>
    <row r="149" spans="2:6" x14ac:dyDescent="0.25">
      <c r="B149" s="23"/>
    </row>
    <row r="150" spans="2:6" x14ac:dyDescent="0.25">
      <c r="B150" s="94" t="str">
        <f t="shared" si="11"/>
        <v>Maintenance costs</v>
      </c>
    </row>
    <row r="151" spans="2:6" x14ac:dyDescent="0.25">
      <c r="B151" s="23" t="str">
        <f t="shared" si="11"/>
        <v>Standard metering (accumulation meters and interval meters)</v>
      </c>
      <c r="D151" s="33">
        <f>'[10]Data 2006-08'!D40</f>
        <v>480000</v>
      </c>
      <c r="E151" s="33">
        <f>'[10]Data 2006-08'!E40</f>
        <v>397789</v>
      </c>
      <c r="F151" s="33">
        <f>'[10]Data 2006-08'!F40</f>
        <v>522383</v>
      </c>
    </row>
    <row r="152" spans="2:6" x14ac:dyDescent="0.25">
      <c r="B152" s="23" t="str">
        <f t="shared" si="11"/>
        <v>Metering data services (IT related)</v>
      </c>
      <c r="D152" s="33">
        <f>'[10]Data 2006-08'!D41</f>
        <v>2406405</v>
      </c>
      <c r="E152" s="33">
        <f>'[10]Data 2006-08'!E41</f>
        <v>3369242</v>
      </c>
      <c r="F152" s="33">
        <f>'[10]Data 2006-08'!F41</f>
        <v>3831095</v>
      </c>
    </row>
    <row r="153" spans="2:6" x14ac:dyDescent="0.25">
      <c r="B153" s="23" t="str">
        <f t="shared" si="11"/>
        <v>Total</v>
      </c>
      <c r="D153" s="35">
        <f>'[10]Data 2006-08'!D42</f>
        <v>2886405</v>
      </c>
      <c r="E153" s="35">
        <f>'[10]Data 2006-08'!E42</f>
        <v>3767031</v>
      </c>
      <c r="F153" s="35">
        <f>'[10]Data 2006-08'!F42</f>
        <v>4353478</v>
      </c>
    </row>
    <row r="154" spans="2:6" x14ac:dyDescent="0.25">
      <c r="B154" s="23"/>
      <c r="D154" s="33"/>
      <c r="E154" s="33"/>
      <c r="F154" s="33"/>
    </row>
    <row r="155" spans="2:6" x14ac:dyDescent="0.25">
      <c r="B155" s="94" t="str">
        <f t="shared" si="11"/>
        <v>Operating costs</v>
      </c>
      <c r="D155" s="33"/>
      <c r="E155" s="33"/>
      <c r="F155" s="33"/>
    </row>
    <row r="156" spans="2:6" x14ac:dyDescent="0.25">
      <c r="B156" s="23" t="str">
        <f t="shared" si="11"/>
        <v>Metering data services</v>
      </c>
      <c r="D156" s="33">
        <f>'[10]Data 2006-08'!D45</f>
        <v>1015877.2</v>
      </c>
      <c r="E156" s="33">
        <f>'[10]Data 2006-08'!E45</f>
        <v>1421583.2745999997</v>
      </c>
      <c r="F156" s="33">
        <f>'[10]Data 2006-08'!F45</f>
        <v>1616244</v>
      </c>
    </row>
    <row r="157" spans="2:6" x14ac:dyDescent="0.25">
      <c r="B157" s="23" t="str">
        <f t="shared" si="11"/>
        <v>Customer services (meter replacements)</v>
      </c>
      <c r="D157" s="33">
        <f>'[10]Data 2006-08'!D46</f>
        <v>0</v>
      </c>
      <c r="E157" s="33">
        <f>'[10]Data 2006-08'!E46</f>
        <v>0</v>
      </c>
      <c r="F157" s="33">
        <f>'[10]Data 2006-08'!F46</f>
        <v>0</v>
      </c>
    </row>
    <row r="158" spans="2:6" x14ac:dyDescent="0.25">
      <c r="B158" s="23" t="str">
        <f t="shared" si="11"/>
        <v>Indirect Overheads</v>
      </c>
      <c r="D158" s="33">
        <f>'[10]Data 2006-08'!D47</f>
        <v>517344.8</v>
      </c>
      <c r="E158" s="33">
        <f>'[10]Data 2006-08'!E47</f>
        <v>724698.72540000023</v>
      </c>
      <c r="F158" s="33">
        <f>'[10]Data 2006-08'!F47</f>
        <v>824062</v>
      </c>
    </row>
    <row r="159" spans="2:6" x14ac:dyDescent="0.25">
      <c r="B159" s="23" t="str">
        <f t="shared" si="11"/>
        <v>Total</v>
      </c>
      <c r="D159" s="35">
        <f>'[10]Data 2006-08'!D48</f>
        <v>1533222</v>
      </c>
      <c r="E159" s="35">
        <f>'[10]Data 2006-08'!E48</f>
        <v>2146282</v>
      </c>
      <c r="F159" s="35">
        <f>'[10]Data 2006-08'!F48</f>
        <v>2440306</v>
      </c>
    </row>
    <row r="160" spans="2:6" x14ac:dyDescent="0.25">
      <c r="B160" s="23"/>
      <c r="D160" s="33"/>
      <c r="E160" s="33"/>
      <c r="F160" s="33"/>
    </row>
    <row r="161" spans="2:14" x14ac:dyDescent="0.25">
      <c r="B161" s="23" t="str">
        <f t="shared" si="11"/>
        <v>TOTAL O&amp;M Expenditure</v>
      </c>
      <c r="D161" s="35">
        <f>'[10]Data 2006-08'!D50</f>
        <v>4419627</v>
      </c>
      <c r="E161" s="35">
        <f>'[10]Data 2006-08'!E50</f>
        <v>5913313</v>
      </c>
      <c r="F161" s="35">
        <f>'[10]Data 2006-08'!F50</f>
        <v>6793784</v>
      </c>
      <c r="G161" s="106">
        <f>'[10]Data 2009-11'!D$55</f>
        <v>8437513.7038626671</v>
      </c>
      <c r="H161" s="106">
        <f>'[10]Data 2009-11'!E$55</f>
        <v>10167825</v>
      </c>
      <c r="I161" s="106">
        <f>'[10]Data 2009-11'!F$55</f>
        <v>16811908.977192648</v>
      </c>
      <c r="J161" s="106">
        <f>'[10]DNSP Data Inputs 2012-15'!G$55</f>
        <v>20060926.000000004</v>
      </c>
      <c r="K161" s="173">
        <v>21810732</v>
      </c>
      <c r="L161" s="173">
        <v>21623000.920459427</v>
      </c>
      <c r="M161" s="173">
        <v>18615000</v>
      </c>
      <c r="N161" s="1">
        <f>SUM(D161:M161)</f>
        <v>134653630.60151476</v>
      </c>
    </row>
    <row r="162" spans="2:14" x14ac:dyDescent="0.25">
      <c r="B162" s="23"/>
    </row>
  </sheetData>
  <mergeCells count="1">
    <mergeCell ref="D6:F6"/>
  </mergeCells>
  <pageMargins left="0.70866141732283472" right="0.70866141732283472" top="0.74803149606299213" bottom="0.74803149606299213" header="0.31496062992125984" footer="0.31496062992125984"/>
  <pageSetup paperSize="8" scale="3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66"/>
  <sheetViews>
    <sheetView zoomScale="85" zoomScaleNormal="85" workbookViewId="0">
      <pane ySplit="7" topLeftCell="A17" activePane="bottomLeft" state="frozen"/>
      <selection pane="bottomLeft" activeCell="J64" sqref="J64:M64"/>
    </sheetView>
  </sheetViews>
  <sheetFormatPr defaultRowHeight="15" x14ac:dyDescent="0.25"/>
  <cols>
    <col min="1" max="1" width="15.5703125" style="5" customWidth="1"/>
    <col min="2" max="2" width="52.42578125" style="2" bestFit="1" customWidth="1"/>
    <col min="3" max="3" width="21.140625" style="2" customWidth="1"/>
    <col min="4" max="13" width="13.5703125" style="2" customWidth="1"/>
    <col min="14" max="14" width="13.5703125" style="1" customWidth="1"/>
    <col min="15" max="15" width="17.5703125" style="2" customWidth="1"/>
    <col min="16" max="16" width="16.85546875" style="2" bestFit="1" customWidth="1"/>
    <col min="17" max="16384" width="9.140625" style="2"/>
  </cols>
  <sheetData>
    <row r="1" spans="1:15" x14ac:dyDescent="0.25">
      <c r="A1" s="4"/>
      <c r="C1" s="6"/>
    </row>
    <row r="2" spans="1:15" x14ac:dyDescent="0.25">
      <c r="C2" s="6"/>
      <c r="E2" s="30">
        <f>'[1]Economic Assum'!E4</f>
        <v>2007</v>
      </c>
      <c r="F2" s="30">
        <f>'[1]Economic Assum'!F4</f>
        <v>2008</v>
      </c>
      <c r="G2" s="30">
        <f>'[1]Economic Assum'!G4</f>
        <v>2009</v>
      </c>
      <c r="H2" s="30">
        <f>'[1]Economic Assum'!H4</f>
        <v>2010</v>
      </c>
      <c r="I2" s="30">
        <f>'[1]Economic Assum'!I4</f>
        <v>2011</v>
      </c>
      <c r="J2" s="30">
        <f>'[1]Economic Assum'!J4</f>
        <v>2012</v>
      </c>
      <c r="K2" s="30">
        <f>'[1]Economic Assum'!K4</f>
        <v>2013</v>
      </c>
      <c r="L2" s="30">
        <f>'[1]Economic Assum'!L4</f>
        <v>2014</v>
      </c>
      <c r="M2" s="30">
        <f>'[1]Economic Assum'!M4</f>
        <v>2015</v>
      </c>
    </row>
    <row r="3" spans="1:15" x14ac:dyDescent="0.25">
      <c r="B3" s="6" t="str">
        <f>'[1]Economic Assum'!B6</f>
        <v>CPI</v>
      </c>
      <c r="C3" s="6"/>
      <c r="D3" s="6"/>
      <c r="E3" s="31">
        <f>'[1]Economic Assum'!E6</f>
        <v>3.9385847797062556E-2</v>
      </c>
      <c r="F3" s="31">
        <f>'[1]Economic Assum'!F6</f>
        <v>1.862556197816323E-2</v>
      </c>
      <c r="G3" s="31">
        <f>'[2]Data 2009-15 (Real $2008)'!D144</f>
        <v>4.9810844892812067E-2</v>
      </c>
      <c r="H3" s="31">
        <f>'[2]Data 2009-15 (Real $2008)'!E144</f>
        <v>1.2612612612612484E-2</v>
      </c>
      <c r="I3" s="31">
        <f>'[2]Data 2009-15 (Real $2008)'!F144</f>
        <v>2.7876631079478242E-2</v>
      </c>
      <c r="J3" s="31">
        <f>'[2]Data 2009-15 (Real $2008)'!G144</f>
        <v>3.5199076745527913E-2</v>
      </c>
      <c r="K3" s="31">
        <f>'[2]Data 2009-15 (Real $2008)'!H144</f>
        <v>2.0040080160320661E-2</v>
      </c>
      <c r="L3" s="31">
        <f>'[2]Data 2009-15 (Real $2008)'!I144</f>
        <v>2.47E-2</v>
      </c>
      <c r="M3" s="31">
        <f>'[2]Data 2009-15 (Real $2008)'!J144</f>
        <v>2.47E-2</v>
      </c>
      <c r="N3" s="31"/>
      <c r="O3" s="12"/>
    </row>
    <row r="4" spans="1:15" x14ac:dyDescent="0.25">
      <c r="B4" s="2" t="s">
        <v>19</v>
      </c>
      <c r="D4" s="37"/>
      <c r="E4" s="29">
        <f>F4/(1+F3)</f>
        <v>0.98171500630517017</v>
      </c>
      <c r="F4" s="29">
        <v>1</v>
      </c>
      <c r="G4" s="29">
        <f t="shared" ref="G4:M4" si="0">F4*(1+G3)</f>
        <v>1.0498108448928121</v>
      </c>
      <c r="H4" s="29">
        <f t="shared" si="0"/>
        <v>1.0630517023959645</v>
      </c>
      <c r="I4" s="29">
        <f t="shared" si="0"/>
        <v>1.0926860025220682</v>
      </c>
      <c r="J4" s="29">
        <f t="shared" si="0"/>
        <v>1.1311475409836065</v>
      </c>
      <c r="K4" s="29">
        <f t="shared" si="0"/>
        <v>1.1538158283780675</v>
      </c>
      <c r="L4" s="29">
        <f t="shared" si="0"/>
        <v>1.1823150793390058</v>
      </c>
      <c r="M4" s="29">
        <f t="shared" si="0"/>
        <v>1.2115182617986793</v>
      </c>
      <c r="O4" s="12"/>
    </row>
    <row r="5" spans="1:15" x14ac:dyDescent="0.25">
      <c r="B5" s="6"/>
      <c r="C5" s="6"/>
      <c r="F5" s="32"/>
      <c r="G5" s="32"/>
      <c r="H5" s="32"/>
      <c r="I5" s="32"/>
      <c r="J5" s="32"/>
      <c r="K5" s="32"/>
      <c r="L5" s="32"/>
      <c r="M5" s="32"/>
      <c r="O5" s="12"/>
    </row>
    <row r="6" spans="1:15" x14ac:dyDescent="0.25">
      <c r="B6" s="5"/>
      <c r="C6" s="5"/>
      <c r="D6" s="202" t="s">
        <v>70</v>
      </c>
      <c r="E6" s="202"/>
      <c r="F6" s="202"/>
      <c r="G6" s="202"/>
      <c r="H6" s="201" t="s">
        <v>69</v>
      </c>
      <c r="I6" s="201"/>
      <c r="J6" s="201"/>
      <c r="K6" s="201"/>
      <c r="L6" s="201"/>
      <c r="M6" s="201"/>
      <c r="O6" s="25"/>
    </row>
    <row r="7" spans="1:15" s="8" customFormat="1" x14ac:dyDescent="0.25">
      <c r="A7" s="7" t="s">
        <v>7</v>
      </c>
      <c r="D7" s="8">
        <v>2006</v>
      </c>
      <c r="E7" s="8">
        <f>D7+1</f>
        <v>2007</v>
      </c>
      <c r="F7" s="8">
        <f t="shared" ref="F7:M7" si="1">E7+1</f>
        <v>2008</v>
      </c>
      <c r="G7" s="8">
        <f t="shared" si="1"/>
        <v>2009</v>
      </c>
      <c r="H7" s="8">
        <f t="shared" si="1"/>
        <v>2010</v>
      </c>
      <c r="I7" s="8">
        <f t="shared" si="1"/>
        <v>2011</v>
      </c>
      <c r="J7" s="8">
        <f t="shared" si="1"/>
        <v>2012</v>
      </c>
      <c r="K7" s="8">
        <f t="shared" si="1"/>
        <v>2013</v>
      </c>
      <c r="L7" s="8">
        <f t="shared" si="1"/>
        <v>2014</v>
      </c>
      <c r="M7" s="8">
        <f t="shared" si="1"/>
        <v>2015</v>
      </c>
      <c r="N7" s="9"/>
      <c r="O7" s="26"/>
    </row>
    <row r="8" spans="1:15" x14ac:dyDescent="0.25">
      <c r="A8" s="10" t="s">
        <v>8</v>
      </c>
    </row>
    <row r="9" spans="1:15" x14ac:dyDescent="0.25">
      <c r="A9" s="10"/>
      <c r="B9" s="5" t="s">
        <v>55</v>
      </c>
    </row>
    <row r="10" spans="1:15" x14ac:dyDescent="0.25">
      <c r="A10" s="10"/>
      <c r="B10" s="11" t="s">
        <v>64</v>
      </c>
      <c r="C10" s="5"/>
      <c r="D10" s="33">
        <f>'[7]IMRO Decision 2006-10'!J402</f>
        <v>404764</v>
      </c>
      <c r="E10" s="33">
        <f>'[7]IMRO Decision 2006-10'!K402</f>
        <v>408819</v>
      </c>
      <c r="F10" s="33">
        <f>'[7]IMRO Decision 2006-10'!L402</f>
        <v>412708.24790094845</v>
      </c>
      <c r="G10" s="33">
        <f>'[7]IMRO Decision 2006-10'!M402</f>
        <v>416164.9541065204</v>
      </c>
      <c r="H10" s="33">
        <f>'[12]Data 2009-11'!I102</f>
        <v>425181.5</v>
      </c>
      <c r="I10" s="33">
        <f>'[12]Data 2009-11'!J102</f>
        <v>427878</v>
      </c>
      <c r="J10" s="33">
        <f>'[13]Tariff Compliance'!K50</f>
        <v>432156.78</v>
      </c>
      <c r="K10" s="33">
        <f>'[7]DNSP Data Inputs 2012-15'!O92</f>
        <v>492623</v>
      </c>
      <c r="L10" s="33">
        <f>'[7]DNSP Data Inputs 2012-15'!P92</f>
        <v>496773</v>
      </c>
      <c r="M10" s="33">
        <f>'[7]DNSP Data Inputs 2012-15'!Q92</f>
        <v>500757</v>
      </c>
      <c r="O10" s="98"/>
    </row>
    <row r="11" spans="1:15" x14ac:dyDescent="0.25">
      <c r="A11" s="10"/>
      <c r="B11" s="11" t="s">
        <v>65</v>
      </c>
      <c r="C11" s="11"/>
      <c r="D11" s="1"/>
      <c r="E11" s="1"/>
      <c r="F11" s="1"/>
      <c r="G11" s="1"/>
      <c r="H11" s="33">
        <f>'[12]Data 2009-11'!I103</f>
        <v>129475</v>
      </c>
      <c r="I11" s="33">
        <f>'[12]Data 2009-11'!J103</f>
        <v>130287</v>
      </c>
      <c r="J11" s="33">
        <f>'[13]Tariff Compliance'!K51</f>
        <v>131589.87</v>
      </c>
      <c r="K11" s="33">
        <f>'[7]DNSP Data Inputs 2012-15'!O93</f>
        <v>72851</v>
      </c>
      <c r="L11" s="33">
        <f>'[7]DNSP Data Inputs 2012-15'!P93</f>
        <v>73464</v>
      </c>
      <c r="M11" s="33">
        <f>'[7]DNSP Data Inputs 2012-15'!Q93</f>
        <v>74053</v>
      </c>
      <c r="O11" s="98"/>
    </row>
    <row r="12" spans="1:15" x14ac:dyDescent="0.25">
      <c r="A12" s="10"/>
      <c r="B12" s="11" t="s">
        <v>66</v>
      </c>
      <c r="C12" s="11"/>
      <c r="D12" s="1">
        <f>'[7]IMRO Decision 2006-10'!J403</f>
        <v>139041.82093657381</v>
      </c>
      <c r="E12" s="1">
        <f>'[7]IMRO Decision 2006-10'!K403</f>
        <v>140017.8134013041</v>
      </c>
      <c r="F12" s="1">
        <f>'[7]IMRO Decision 2006-10'!L403</f>
        <v>140954.05766923536</v>
      </c>
      <c r="G12" s="1">
        <f>'[7]IMRO Decision 2006-10'!M403</f>
        <v>141786.16347599291</v>
      </c>
      <c r="H12" s="33">
        <f>'[12]Data 2009-11'!I104</f>
        <v>0</v>
      </c>
      <c r="I12" s="33">
        <f>'[12]Data 2009-11'!J104</f>
        <v>0</v>
      </c>
      <c r="J12" s="33">
        <f>'[13]Tariff Compliance'!K52</f>
        <v>0</v>
      </c>
      <c r="K12" s="33">
        <f>'[7]DNSP Data Inputs 2012-15'!O94</f>
        <v>0</v>
      </c>
      <c r="L12" s="33">
        <f>'[7]DNSP Data Inputs 2012-15'!P94</f>
        <v>0</v>
      </c>
      <c r="M12" s="33">
        <f>'[7]DNSP Data Inputs 2012-15'!Q94</f>
        <v>0</v>
      </c>
      <c r="O12" s="98"/>
    </row>
    <row r="13" spans="1:15" x14ac:dyDescent="0.25">
      <c r="A13" s="10"/>
      <c r="B13" s="11" t="s">
        <v>57</v>
      </c>
      <c r="C13" s="11"/>
      <c r="D13" s="1">
        <f>'[7]IMRO Decision 2006-10'!J404</f>
        <v>67184.368227622996</v>
      </c>
      <c r="E13" s="1">
        <f>'[7]IMRO Decision 2006-10'!K404</f>
        <v>68811.022335506786</v>
      </c>
      <c r="F13" s="1">
        <f>'[7]IMRO Decision 2006-10'!L404</f>
        <v>70371.429448725539</v>
      </c>
      <c r="G13" s="1">
        <f>'[7]IMRO Decision 2006-10'!M404</f>
        <v>71758.272459988118</v>
      </c>
      <c r="H13" s="33">
        <f>'[12]Data 2009-11'!I105</f>
        <v>84520</v>
      </c>
      <c r="I13" s="33">
        <f>'[12]Data 2009-11'!J105</f>
        <v>85056</v>
      </c>
      <c r="J13" s="33">
        <f>'[13]Tariff Compliance'!K53</f>
        <v>85906.559999999998</v>
      </c>
      <c r="K13" s="33">
        <f>'[7]DNSP Data Inputs 2012-15'!O95</f>
        <v>90630</v>
      </c>
      <c r="L13" s="33">
        <f>'[7]DNSP Data Inputs 2012-15'!P95</f>
        <v>91394</v>
      </c>
      <c r="M13" s="33">
        <f>'[7]DNSP Data Inputs 2012-15'!Q95</f>
        <v>92126</v>
      </c>
      <c r="O13" s="98"/>
    </row>
    <row r="14" spans="1:15" x14ac:dyDescent="0.25">
      <c r="A14" s="10"/>
      <c r="B14" s="11" t="s">
        <v>67</v>
      </c>
      <c r="C14" s="11"/>
      <c r="G14" s="1"/>
      <c r="H14" s="33">
        <f>'[12]Data 2009-11'!I106</f>
        <v>0</v>
      </c>
      <c r="I14" s="33">
        <f>'[12]Data 2009-11'!J106</f>
        <v>0</v>
      </c>
      <c r="J14" s="33">
        <f>'[13]Tariff Compliance'!K54</f>
        <v>0</v>
      </c>
      <c r="K14" s="33">
        <f>'[7]DNSP Data Inputs 2012-15'!O96</f>
        <v>0</v>
      </c>
      <c r="L14" s="33">
        <f>'[7]DNSP Data Inputs 2012-15'!P96</f>
        <v>0</v>
      </c>
      <c r="M14" s="33">
        <f>'[7]DNSP Data Inputs 2012-15'!Q96</f>
        <v>0</v>
      </c>
      <c r="O14" s="98"/>
    </row>
    <row r="15" spans="1:15" x14ac:dyDescent="0.25">
      <c r="A15" s="10"/>
      <c r="B15" s="11" t="s">
        <v>68</v>
      </c>
      <c r="C15" s="11"/>
      <c r="D15" s="1">
        <f>'[7]IMRO Decision 2006-10'!$J$405</f>
        <v>2556.0460284528749</v>
      </c>
      <c r="E15" s="1">
        <f>'[7]IMRO Decision 2006-10'!$J$405</f>
        <v>2556.0460284528749</v>
      </c>
      <c r="F15" s="1">
        <f>'[7]IMRO Decision 2006-10'!$J$405</f>
        <v>2556.0460284528749</v>
      </c>
      <c r="G15" s="1">
        <f>'[7]IMRO Decision 2006-10'!$J$405</f>
        <v>2556.0460284528749</v>
      </c>
      <c r="H15" s="33">
        <f>'[12]Data 2009-11'!I107</f>
        <v>3016</v>
      </c>
      <c r="I15" s="33">
        <f>'[12]Data 2009-11'!J107</f>
        <v>3035</v>
      </c>
      <c r="J15" s="33">
        <f>'[13]Tariff Compliance'!K55</f>
        <v>3065.35</v>
      </c>
      <c r="K15" s="33">
        <f>'[7]DNSP Data Inputs 2012-15'!O97</f>
        <v>2764</v>
      </c>
      <c r="L15" s="33">
        <f>'[7]DNSP Data Inputs 2012-15'!P97</f>
        <v>2787</v>
      </c>
      <c r="M15" s="33">
        <f>'[7]DNSP Data Inputs 2012-15'!Q97</f>
        <v>2809</v>
      </c>
      <c r="O15" s="98"/>
    </row>
    <row r="16" spans="1:15" x14ac:dyDescent="0.25">
      <c r="A16" s="10"/>
      <c r="B16" s="5" t="s">
        <v>6</v>
      </c>
      <c r="C16" s="11"/>
      <c r="D16" s="10">
        <f>SUM(D10:D15)</f>
        <v>613546.23519264976</v>
      </c>
      <c r="E16" s="10">
        <f t="shared" ref="E16:G16" si="2">SUM(E10:E15)</f>
        <v>620203.88176526374</v>
      </c>
      <c r="F16" s="10">
        <f t="shared" si="2"/>
        <v>626589.78104736225</v>
      </c>
      <c r="G16" s="10">
        <f t="shared" si="2"/>
        <v>632265.43607095431</v>
      </c>
      <c r="H16" s="10">
        <f t="shared" ref="H16" si="3">SUM(H10:H15)</f>
        <v>642192.5</v>
      </c>
      <c r="I16" s="10">
        <f t="shared" ref="I16:J16" si="4">SUM(I10:I15)</f>
        <v>646256</v>
      </c>
      <c r="J16" s="10">
        <f t="shared" si="4"/>
        <v>652718.55999999994</v>
      </c>
      <c r="K16" s="10">
        <f>SUM(K10:K15)</f>
        <v>658868</v>
      </c>
      <c r="L16" s="10">
        <f t="shared" ref="L16:M16" si="5">SUM(L10:L15)</f>
        <v>664418</v>
      </c>
      <c r="M16" s="10">
        <f t="shared" si="5"/>
        <v>669745</v>
      </c>
    </row>
    <row r="17" spans="1:14" x14ac:dyDescent="0.25">
      <c r="A17" s="10"/>
      <c r="B17" s="5"/>
      <c r="C17" s="11"/>
      <c r="D17" s="10"/>
      <c r="E17" s="10"/>
      <c r="F17" s="10"/>
      <c r="G17" s="10"/>
      <c r="H17" s="10"/>
      <c r="I17" s="1"/>
      <c r="J17" s="1"/>
      <c r="K17" s="10"/>
      <c r="L17" s="10"/>
      <c r="M17" s="10"/>
    </row>
    <row r="18" spans="1:14" x14ac:dyDescent="0.25">
      <c r="A18" s="10"/>
      <c r="B18" s="5" t="s">
        <v>72</v>
      </c>
      <c r="C18" s="11"/>
      <c r="D18" s="10">
        <f>'[7]Data 2006-08'!D59</f>
        <v>625997</v>
      </c>
      <c r="E18" s="10">
        <f>'[7]Data 2006-08'!E59</f>
        <v>632620</v>
      </c>
      <c r="F18" s="10">
        <f>'[7]Data 2006-08'!F59</f>
        <v>638544</v>
      </c>
      <c r="G18" s="10"/>
      <c r="H18" s="10"/>
      <c r="I18" s="1"/>
      <c r="J18" s="1"/>
      <c r="K18" s="10"/>
      <c r="L18" s="10"/>
      <c r="M18" s="10"/>
    </row>
    <row r="19" spans="1:14" s="15" customFormat="1" x14ac:dyDescent="0.25">
      <c r="A19" s="7"/>
      <c r="B19" s="13"/>
      <c r="C19" s="13"/>
      <c r="D19" s="14"/>
      <c r="E19" s="14"/>
      <c r="F19" s="14"/>
      <c r="G19" s="14"/>
      <c r="H19" s="14"/>
      <c r="I19" s="14"/>
      <c r="N19" s="14"/>
    </row>
    <row r="20" spans="1:14" s="17" customFormat="1" x14ac:dyDescent="0.25">
      <c r="A20" s="4"/>
      <c r="B20" s="16"/>
      <c r="C20" s="16"/>
      <c r="D20" s="3"/>
      <c r="E20" s="3"/>
      <c r="F20" s="3"/>
      <c r="G20" s="3"/>
      <c r="H20" s="3"/>
      <c r="I20" s="3"/>
      <c r="N20" s="3"/>
    </row>
    <row r="21" spans="1:14" s="17" customFormat="1" x14ac:dyDescent="0.25">
      <c r="A21" s="18" t="s">
        <v>9</v>
      </c>
      <c r="B21" s="19"/>
      <c r="C21" s="19"/>
    </row>
    <row r="22" spans="1:14" s="17" customFormat="1" x14ac:dyDescent="0.25">
      <c r="A22" s="18"/>
      <c r="B22" s="19" t="str">
        <f>B9</f>
        <v>Meter type</v>
      </c>
      <c r="C22" s="19"/>
    </row>
    <row r="23" spans="1:14" s="17" customFormat="1" x14ac:dyDescent="0.25">
      <c r="A23" s="18"/>
      <c r="B23" s="11" t="s">
        <v>64</v>
      </c>
      <c r="C23" s="20"/>
      <c r="D23" s="3">
        <f>'[8]IMRO Decision 2006-10'!J402</f>
        <v>319079.32803200395</v>
      </c>
      <c r="E23" s="3">
        <f>'[8]IMRO Decision 2006-10'!K402</f>
        <v>324516.93504135334</v>
      </c>
      <c r="F23" s="3">
        <f>'[8]IMRO Decision 2006-10'!L402</f>
        <v>330200.72100765217</v>
      </c>
      <c r="G23" s="3">
        <f>'[8]IMRO Decision 2006-10'!M402</f>
        <v>335492.35050653736</v>
      </c>
      <c r="H23" s="3">
        <f>'[14]DNSP Data Inputs 2009-11'!I122</f>
        <v>584038.65976329509</v>
      </c>
      <c r="I23" s="3">
        <f>'[14]DNSP Data Inputs 2009-11'!J122</f>
        <v>594681.24552226847</v>
      </c>
      <c r="J23" s="3">
        <f>'[15]DNSP Data Inputs 2011-15'!N112</f>
        <v>608884.52263649413</v>
      </c>
      <c r="K23" s="3">
        <f>'[8]DNSP Data Inputs 2012-15'!O112</f>
        <v>617598.49951628468</v>
      </c>
      <c r="L23" s="3">
        <f>'[8]DNSP Data Inputs 2012-15'!P112</f>
        <v>627651.41215236764</v>
      </c>
      <c r="M23" s="3">
        <f>'[8]DNSP Data Inputs 2012-15'!Q112</f>
        <v>637222.32996039581</v>
      </c>
      <c r="N23" s="103"/>
    </row>
    <row r="24" spans="1:14" s="17" customFormat="1" x14ac:dyDescent="0.25">
      <c r="A24" s="18"/>
      <c r="B24" s="11" t="s">
        <v>65</v>
      </c>
      <c r="C24" s="20"/>
      <c r="D24" s="3"/>
      <c r="E24" s="3"/>
      <c r="F24" s="3"/>
      <c r="G24" s="3"/>
      <c r="H24" s="3"/>
      <c r="I24" s="3"/>
      <c r="J24" s="3"/>
      <c r="K24" s="3"/>
      <c r="L24" s="3"/>
      <c r="M24" s="3"/>
      <c r="N24" s="103"/>
    </row>
    <row r="25" spans="1:14" s="17" customFormat="1" x14ac:dyDescent="0.25">
      <c r="A25" s="18"/>
      <c r="B25" s="11" t="s">
        <v>66</v>
      </c>
      <c r="C25" s="20"/>
      <c r="D25" s="3">
        <f>'[8]IMRO Decision 2006-10'!J403</f>
        <v>220925.01356011708</v>
      </c>
      <c r="E25" s="3">
        <f>'[8]IMRO Decision 2006-10'!K403</f>
        <v>224689.91870042938</v>
      </c>
      <c r="F25" s="3">
        <f>'[8]IMRO Decision 2006-10'!L403</f>
        <v>228625.27389696357</v>
      </c>
      <c r="G25" s="3">
        <f>'[8]IMRO Decision 2006-10'!M403</f>
        <v>232289.10673128325</v>
      </c>
      <c r="H25" s="3"/>
      <c r="I25" s="3"/>
      <c r="J25" s="3"/>
      <c r="K25" s="3"/>
      <c r="L25" s="3"/>
      <c r="M25" s="3"/>
      <c r="N25" s="103"/>
    </row>
    <row r="26" spans="1:14" s="17" customFormat="1" x14ac:dyDescent="0.25">
      <c r="A26" s="18"/>
      <c r="B26" s="11" t="s">
        <v>57</v>
      </c>
      <c r="C26" s="20"/>
      <c r="D26" s="3">
        <f>'[8]IMRO Decision 2006-10'!J404</f>
        <v>100712.9169065477</v>
      </c>
      <c r="E26" s="3">
        <f>'[8]IMRO Decision 2006-10'!K404</f>
        <v>102429.22133241178</v>
      </c>
      <c r="F26" s="3">
        <f>'[8]IMRO Decision 2006-10'!L404</f>
        <v>104223.22869499793</v>
      </c>
      <c r="G26" s="3">
        <f>'[8]IMRO Decision 2006-10'!M404</f>
        <v>105893.45736605745</v>
      </c>
      <c r="H26" s="3"/>
      <c r="I26" s="3"/>
      <c r="J26" s="3"/>
      <c r="K26" s="3"/>
      <c r="L26" s="3"/>
      <c r="M26" s="3"/>
      <c r="N26" s="99"/>
    </row>
    <row r="27" spans="1:14" s="17" customFormat="1" x14ac:dyDescent="0.25">
      <c r="A27" s="18"/>
      <c r="B27" s="11" t="s">
        <v>67</v>
      </c>
      <c r="C27" s="20"/>
      <c r="D27" s="3"/>
      <c r="E27" s="3"/>
      <c r="F27" s="3"/>
      <c r="G27" s="3"/>
      <c r="H27" s="3">
        <f>'[14]DNSP Data Inputs 2009-11'!I123</f>
        <v>100509.17110753273</v>
      </c>
      <c r="I27" s="3">
        <f>'[14]DNSP Data Inputs 2009-11'!J123</f>
        <v>102719.36773556937</v>
      </c>
      <c r="J27" s="3">
        <f>'[15]DNSP Data Inputs 2011-15'!N113</f>
        <v>114880.73414048826</v>
      </c>
      <c r="K27" s="3">
        <f>'[8]DNSP Data Inputs 2012-15'!O113</f>
        <v>118144.14401795466</v>
      </c>
      <c r="L27" s="3">
        <f>'[8]DNSP Data Inputs 2012-15'!P113</f>
        <v>119645.55101336956</v>
      </c>
      <c r="M27" s="3">
        <f>'[8]DNSP Data Inputs 2012-15'!Q113</f>
        <v>121090.9262866326</v>
      </c>
      <c r="N27" s="1"/>
    </row>
    <row r="28" spans="1:14" s="17" customFormat="1" x14ac:dyDescent="0.25">
      <c r="A28" s="18"/>
      <c r="B28" s="11" t="s">
        <v>68</v>
      </c>
      <c r="C28" s="20"/>
      <c r="D28" s="3">
        <f>'[8]IMRO Decision 2006-10'!$J$405</f>
        <v>4953.1946448121762</v>
      </c>
      <c r="E28" s="3">
        <f>'[8]IMRO Decision 2006-10'!$J$405</f>
        <v>4953.1946448121762</v>
      </c>
      <c r="F28" s="3">
        <f>'[8]IMRO Decision 2006-10'!$J$405</f>
        <v>4953.1946448121762</v>
      </c>
      <c r="G28" s="3">
        <f>'[8]IMRO Decision 2006-10'!$J$405</f>
        <v>4953.1946448121762</v>
      </c>
      <c r="H28" s="3">
        <f>'[14]DNSP Data Inputs 2009-11'!I124</f>
        <v>3430.0792672842781</v>
      </c>
      <c r="I28" s="3">
        <f>'[14]DNSP Data Inputs 2009-11'!J124</f>
        <v>3457.4087029935436</v>
      </c>
      <c r="J28" s="3">
        <f>'[15]DNSP Data Inputs 2011-15'!N114</f>
        <v>4339.3026097331567</v>
      </c>
      <c r="K28" s="3">
        <f>'[8]DNSP Data Inputs 2012-15'!O114</f>
        <v>4336.3195815169502</v>
      </c>
      <c r="L28" s="3">
        <f>'[8]DNSP Data Inputs 2012-15'!P114</f>
        <v>4485.4476854641198</v>
      </c>
      <c r="M28" s="3">
        <f>'[8]DNSP Data Inputs 2012-15'!Q114</f>
        <v>4585.1865444224395</v>
      </c>
      <c r="N28" s="1"/>
    </row>
    <row r="29" spans="1:14" s="17" customFormat="1" x14ac:dyDescent="0.25">
      <c r="A29" s="18"/>
      <c r="B29" s="5" t="s">
        <v>6</v>
      </c>
      <c r="C29" s="20"/>
      <c r="D29" s="18">
        <f>SUM(D23:D28)</f>
        <v>645670.45314348093</v>
      </c>
      <c r="E29" s="18">
        <f t="shared" ref="E29:G29" si="6">SUM(E23:E28)</f>
        <v>656589.26971900661</v>
      </c>
      <c r="F29" s="18">
        <f t="shared" si="6"/>
        <v>668002.41824442579</v>
      </c>
      <c r="G29" s="18">
        <f t="shared" si="6"/>
        <v>678628.10924869019</v>
      </c>
      <c r="H29" s="18">
        <f>SUM(H23:H28)</f>
        <v>687977.91013811203</v>
      </c>
      <c r="I29" s="18">
        <f>SUM(I23:I28)</f>
        <v>700858.02196083136</v>
      </c>
      <c r="J29" s="18">
        <f>SUM(J23:J28)</f>
        <v>728104.55938671564</v>
      </c>
      <c r="K29" s="18">
        <f t="shared" ref="K29:M29" si="7">SUM(K23:K28)</f>
        <v>740078.96311575628</v>
      </c>
      <c r="L29" s="18">
        <f t="shared" si="7"/>
        <v>751782.41085120139</v>
      </c>
      <c r="M29" s="18">
        <f t="shared" si="7"/>
        <v>762898.44279145089</v>
      </c>
      <c r="N29" s="1"/>
    </row>
    <row r="30" spans="1:14" s="17" customFormat="1" x14ac:dyDescent="0.25">
      <c r="A30" s="18"/>
      <c r="B30" s="5"/>
      <c r="C30" s="20"/>
      <c r="D30" s="3"/>
      <c r="E30" s="3"/>
      <c r="F30" s="3"/>
      <c r="G30" s="3"/>
      <c r="H30" s="3"/>
      <c r="I30" s="3"/>
      <c r="J30" s="3"/>
      <c r="K30" s="3"/>
      <c r="L30" s="3"/>
      <c r="M30" s="3"/>
      <c r="N30" s="1"/>
    </row>
    <row r="31" spans="1:14" s="17" customFormat="1" x14ac:dyDescent="0.25">
      <c r="A31" s="18"/>
      <c r="B31" s="5" t="s">
        <v>72</v>
      </c>
      <c r="C31" s="20"/>
      <c r="D31" s="18">
        <f>'[8]Data 2006-08'!D218</f>
        <v>860111</v>
      </c>
      <c r="E31" s="18">
        <f>'[8]Data 2006-08'!E218</f>
        <v>867702</v>
      </c>
      <c r="F31" s="18">
        <f>'[8]Data 2006-08'!F218</f>
        <v>852843</v>
      </c>
      <c r="G31" s="3"/>
      <c r="H31" s="3"/>
      <c r="I31" s="3"/>
      <c r="J31" s="3"/>
      <c r="K31" s="3"/>
      <c r="L31" s="3"/>
      <c r="M31" s="3"/>
      <c r="N31" s="1"/>
    </row>
    <row r="32" spans="1:14" s="15" customFormat="1" x14ac:dyDescent="0.25">
      <c r="A32" s="7"/>
      <c r="B32" s="13"/>
      <c r="C32" s="13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6" s="17" customFormat="1" x14ac:dyDescent="0.25">
      <c r="A33" s="4"/>
      <c r="B33" s="16"/>
      <c r="C33" s="1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6" s="17" customFormat="1" x14ac:dyDescent="0.25">
      <c r="A34" s="18" t="s">
        <v>11</v>
      </c>
      <c r="B34" s="19"/>
      <c r="C34" s="19"/>
    </row>
    <row r="35" spans="1:16" s="17" customFormat="1" x14ac:dyDescent="0.25">
      <c r="A35" s="4"/>
      <c r="B35" s="19" t="str">
        <f>B22</f>
        <v>Meter type</v>
      </c>
      <c r="C35" s="20"/>
      <c r="D35" s="3"/>
      <c r="E35" s="3"/>
      <c r="F35" s="3"/>
      <c r="G35" s="3"/>
      <c r="H35" s="3"/>
      <c r="I35" s="3"/>
      <c r="J35" s="3"/>
      <c r="K35" s="3"/>
      <c r="L35" s="3"/>
      <c r="M35" s="3"/>
      <c r="N35" s="99"/>
    </row>
    <row r="36" spans="1:16" s="17" customFormat="1" x14ac:dyDescent="0.25">
      <c r="A36" s="4"/>
      <c r="B36" s="11" t="s">
        <v>56</v>
      </c>
      <c r="C36" s="20"/>
      <c r="D36" s="3">
        <f>'[9]IMRO Decision 2006-10'!J402+'[9]IMRO Decision 2006-10'!J403</f>
        <v>229769.86283547091</v>
      </c>
      <c r="E36" s="3">
        <f>'[9]IMRO Decision 2006-10'!K402+'[9]IMRO Decision 2006-10'!K403</f>
        <v>234586.08969697275</v>
      </c>
      <c r="F36" s="3">
        <f>'[9]IMRO Decision 2006-10'!L402+'[9]IMRO Decision 2006-10'!L403</f>
        <v>238250.60961126277</v>
      </c>
      <c r="G36" s="3">
        <f>'[9]IMRO Decision 2006-10'!M402+'[9]IMRO Decision 2006-10'!M403</f>
        <v>241137.48353718201</v>
      </c>
      <c r="H36" s="3">
        <f>'[16]DNSP Data Inputs 2009-11'!I122</f>
        <v>245890.44510410773</v>
      </c>
      <c r="I36" s="3">
        <f>'[16]DNSP Data Inputs 2009-11'!J122</f>
        <v>249326.18171188401</v>
      </c>
      <c r="J36" s="34">
        <f>'[17]DNSP Data Inputs 2011-15'!N112</f>
        <v>255029.57803285596</v>
      </c>
      <c r="K36" s="3">
        <f>'[9]DNSP Data Inputs 2012-15'!O112</f>
        <v>258020.81658498198</v>
      </c>
      <c r="L36" s="3">
        <f>'[9]DNSP Data Inputs 2012-15'!P112</f>
        <v>260749.44748118613</v>
      </c>
      <c r="M36" s="3">
        <f>'[9]DNSP Data Inputs 2012-15'!Q112</f>
        <v>264017.1719894663</v>
      </c>
      <c r="N36" s="99"/>
    </row>
    <row r="37" spans="1:16" s="17" customFormat="1" x14ac:dyDescent="0.25">
      <c r="A37" s="4"/>
      <c r="B37" s="11" t="s">
        <v>57</v>
      </c>
      <c r="C37" s="20"/>
      <c r="D37" s="3">
        <f>'[9]IMRO Decision 2006-10'!J404</f>
        <v>48621.166827437679</v>
      </c>
      <c r="E37" s="3">
        <f>'[9]IMRO Decision 2006-10'!K404</f>
        <v>49640.319499690209</v>
      </c>
      <c r="F37" s="3">
        <f>'[9]IMRO Decision 2006-10'!L404</f>
        <v>50415.761639474862</v>
      </c>
      <c r="G37" s="3">
        <f>'[9]IMRO Decision 2006-10'!M404</f>
        <v>51026.647579997043</v>
      </c>
      <c r="H37" s="3">
        <f>'[16]DNSP Data Inputs 2009-11'!I123</f>
        <v>53303.492845984496</v>
      </c>
      <c r="I37" s="3">
        <f>'[16]DNSP Data Inputs 2009-11'!J123</f>
        <v>56089.99289561616</v>
      </c>
      <c r="J37" s="34">
        <f>'[17]DNSP Data Inputs 2011-15'!N113</f>
        <v>51440.59446082561</v>
      </c>
      <c r="K37" s="3">
        <f>'[9]DNSP Data Inputs 2012-15'!O113</f>
        <v>53519.354460102288</v>
      </c>
      <c r="L37" s="3">
        <f>'[9]DNSP Data Inputs 2012-15'!P113</f>
        <v>54450.347786078106</v>
      </c>
      <c r="M37" s="3">
        <f>'[9]DNSP Data Inputs 2012-15'!Q113</f>
        <v>55417.690067014613</v>
      </c>
      <c r="N37" s="99"/>
    </row>
    <row r="38" spans="1:16" s="17" customFormat="1" x14ac:dyDescent="0.25">
      <c r="A38" s="4"/>
      <c r="B38" s="11" t="s">
        <v>58</v>
      </c>
      <c r="C38" s="20"/>
      <c r="D38" s="3">
        <f>'[9]IMRO Decision 2006-10'!J405</f>
        <v>3093.400567019999</v>
      </c>
      <c r="E38" s="3">
        <f>'[9]IMRO Decision 2006-10'!K405</f>
        <v>3158.2416158869469</v>
      </c>
      <c r="F38" s="3">
        <f>'[9]IMRO Decision 2006-10'!L405</f>
        <v>3207.5771894945183</v>
      </c>
      <c r="G38" s="3">
        <f>'[9]IMRO Decision 2006-10'!M405</f>
        <v>3246.4432850265871</v>
      </c>
      <c r="H38" s="3">
        <f>'[16]DNSP Data Inputs 2009-11'!I124</f>
        <v>2408.7791746439079</v>
      </c>
      <c r="I38" s="3">
        <f>'[16]DNSP Data Inputs 2009-11'!J124</f>
        <v>2653.4427993655072</v>
      </c>
      <c r="J38" s="34">
        <f>'[17]DNSP Data Inputs 2011-15'!N114</f>
        <v>1770.7981255265377</v>
      </c>
      <c r="K38" s="3">
        <f>'[9]DNSP Data Inputs 2012-15'!O114</f>
        <v>2384.2037111119375</v>
      </c>
      <c r="L38" s="3">
        <f>'[9]DNSP Data Inputs 2012-15'!P114</f>
        <v>2412.0991169586841</v>
      </c>
      <c r="M38" s="3">
        <f>'[9]DNSP Data Inputs 2012-15'!Q114</f>
        <v>2465.8184743649595</v>
      </c>
      <c r="N38" s="99"/>
    </row>
    <row r="39" spans="1:16" s="17" customFormat="1" x14ac:dyDescent="0.25">
      <c r="A39" s="4"/>
      <c r="B39" s="5" t="s">
        <v>6</v>
      </c>
      <c r="D39" s="101">
        <f>SUM(D36:D38)</f>
        <v>281484.43022992858</v>
      </c>
      <c r="E39" s="101">
        <f t="shared" ref="E39:G39" si="8">SUM(E36:E38)</f>
        <v>287384.65081254992</v>
      </c>
      <c r="F39" s="101">
        <f t="shared" si="8"/>
        <v>291873.94844023214</v>
      </c>
      <c r="G39" s="101">
        <f t="shared" si="8"/>
        <v>295410.57440220565</v>
      </c>
      <c r="H39" s="101">
        <f t="shared" ref="H39" si="9">SUM(H36:H38)</f>
        <v>301602.71712473617</v>
      </c>
      <c r="I39" s="101">
        <f t="shared" ref="I39:J39" si="10">SUM(I36:I38)</f>
        <v>308069.6174068657</v>
      </c>
      <c r="J39" s="101">
        <f t="shared" si="10"/>
        <v>308240.97061920806</v>
      </c>
      <c r="K39" s="101">
        <f t="shared" ref="K39" si="11">SUM(K36:K38)</f>
        <v>313924.37475619616</v>
      </c>
      <c r="L39" s="101">
        <f t="shared" ref="L39" si="12">SUM(L36:L38)</f>
        <v>317611.89438422292</v>
      </c>
      <c r="M39" s="101">
        <f t="shared" ref="M39" si="13">SUM(M36:M38)</f>
        <v>321900.68053084583</v>
      </c>
      <c r="N39" s="1"/>
      <c r="P39" s="2"/>
    </row>
    <row r="40" spans="1:16" s="17" customFormat="1" x14ac:dyDescent="0.25">
      <c r="A40" s="4"/>
      <c r="B40" s="5"/>
      <c r="D40" s="101"/>
      <c r="E40" s="101"/>
      <c r="F40" s="101"/>
      <c r="G40" s="101"/>
      <c r="H40" s="101"/>
      <c r="I40" s="39"/>
      <c r="J40" s="39"/>
      <c r="K40" s="39"/>
      <c r="L40" s="39"/>
      <c r="M40" s="39"/>
      <c r="N40" s="1"/>
      <c r="P40" s="2"/>
    </row>
    <row r="41" spans="1:16" s="17" customFormat="1" x14ac:dyDescent="0.25">
      <c r="A41" s="4"/>
      <c r="B41" s="5" t="s">
        <v>72</v>
      </c>
      <c r="D41" s="101">
        <f>'[9]Data 2006-08'!D59</f>
        <v>323678.33333333331</v>
      </c>
      <c r="E41" s="101">
        <f>'[9]Data 2006-08'!E59</f>
        <v>326783.33333333331</v>
      </c>
      <c r="F41" s="101">
        <f>'[9]Data 2006-08'!F59</f>
        <v>329388.66666666669</v>
      </c>
      <c r="G41" s="101"/>
      <c r="H41" s="101"/>
      <c r="I41" s="39"/>
      <c r="J41" s="39"/>
      <c r="K41" s="39"/>
      <c r="L41" s="39"/>
      <c r="M41" s="39"/>
      <c r="N41" s="1"/>
      <c r="P41" s="2"/>
    </row>
    <row r="42" spans="1:16" s="15" customFormat="1" x14ac:dyDescent="0.25">
      <c r="A42" s="7"/>
      <c r="B42" s="21"/>
      <c r="C42" s="21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1:16" s="17" customFormat="1" x14ac:dyDescent="0.25">
      <c r="A43" s="4"/>
      <c r="B43" s="19"/>
      <c r="C43" s="1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6" s="17" customFormat="1" x14ac:dyDescent="0.25">
      <c r="A44" s="18" t="s">
        <v>10</v>
      </c>
      <c r="B44" s="19"/>
      <c r="C44" s="19"/>
      <c r="D44" s="18"/>
      <c r="E44" s="18"/>
      <c r="F44" s="18"/>
      <c r="G44" s="18"/>
      <c r="H44" s="18"/>
      <c r="I44" s="18"/>
      <c r="J44" s="27"/>
      <c r="K44" s="27"/>
      <c r="L44" s="27"/>
      <c r="M44" s="27"/>
      <c r="N44" s="18"/>
    </row>
    <row r="45" spans="1:16" s="17" customFormat="1" x14ac:dyDescent="0.25">
      <c r="A45" s="4"/>
      <c r="B45" s="19" t="str">
        <f>B35</f>
        <v>Meter type</v>
      </c>
      <c r="C45" s="22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1"/>
    </row>
    <row r="46" spans="1:16" s="17" customFormat="1" x14ac:dyDescent="0.25">
      <c r="A46" s="4"/>
      <c r="B46" s="11" t="s">
        <v>59</v>
      </c>
      <c r="D46" s="102">
        <f>'[11]IMRO Decision 2006-10'!J402</f>
        <v>327081.07016085723</v>
      </c>
      <c r="E46" s="102">
        <f>'[11]IMRO Decision 2006-10'!K402</f>
        <v>334788.23161118897</v>
      </c>
      <c r="F46" s="102">
        <f>'[11]IMRO Decision 2006-10'!L402</f>
        <v>342342.5113433029</v>
      </c>
      <c r="G46" s="102">
        <f>'[11]IMRO Decision 2006-10'!M402</f>
        <v>349977.60200844088</v>
      </c>
      <c r="H46" s="102">
        <f>'[18]DNSP Data Inputs 2009-11'!I108</f>
        <v>343244</v>
      </c>
      <c r="I46" s="102">
        <f>'[18]DNSP Data Inputs 2009-11'!J108</f>
        <v>350795</v>
      </c>
      <c r="J46" s="27">
        <f>'[19]DNSP Data Inputs 2011-15'!N98</f>
        <v>389633</v>
      </c>
      <c r="K46" s="104">
        <f>'[11]DNSP Data Inputs 2012-15'!O98</f>
        <v>390822.125</v>
      </c>
      <c r="L46" s="104">
        <f>'[11]DNSP Data Inputs 2012-15'!P98</f>
        <v>398557.46675785119</v>
      </c>
      <c r="M46" s="104">
        <f>'[11]DNSP Data Inputs 2012-15'!Q98</f>
        <v>406120.02995804162</v>
      </c>
      <c r="N46" s="1"/>
    </row>
    <row r="47" spans="1:16" s="17" customFormat="1" x14ac:dyDescent="0.25">
      <c r="A47" s="4"/>
      <c r="B47" s="11" t="s">
        <v>60</v>
      </c>
      <c r="C47" s="22"/>
      <c r="D47" s="102">
        <f>'[11]IMRO Decision 2006-10'!J403</f>
        <v>336438.38255269907</v>
      </c>
      <c r="E47" s="102">
        <f>'[11]IMRO Decision 2006-10'!K403</f>
        <v>340055.93100589758</v>
      </c>
      <c r="F47" s="102">
        <f>'[11]IMRO Decision 2006-10'!L403</f>
        <v>321198.73973271751</v>
      </c>
      <c r="G47" s="102">
        <f>'[11]IMRO Decision 2006-10'!M403</f>
        <v>302440.52795478486</v>
      </c>
      <c r="H47" s="102">
        <f>'[18]DNSP Data Inputs 2009-11'!I109</f>
        <v>174008</v>
      </c>
      <c r="I47" s="102">
        <f>'[18]DNSP Data Inputs 2009-11'!J109</f>
        <v>177833</v>
      </c>
      <c r="J47" s="27">
        <f>'[19]DNSP Data Inputs 2011-15'!N99</f>
        <v>147484</v>
      </c>
      <c r="K47" s="104">
        <f>'[11]DNSP Data Inputs 2012-15'!O99</f>
        <v>155344.875</v>
      </c>
      <c r="L47" s="104">
        <f>'[11]DNSP Data Inputs 2012-15'!P99</f>
        <v>156548.59239537409</v>
      </c>
      <c r="M47" s="104">
        <f>'[11]DNSP Data Inputs 2012-15'!Q99</f>
        <v>157702.89891689076</v>
      </c>
      <c r="N47" s="1"/>
    </row>
    <row r="48" spans="1:16" s="17" customFormat="1" x14ac:dyDescent="0.25">
      <c r="A48" s="4"/>
      <c r="B48" s="11" t="s">
        <v>61</v>
      </c>
      <c r="C48" s="22"/>
      <c r="D48" s="28"/>
      <c r="E48" s="28"/>
      <c r="F48" s="28"/>
      <c r="G48" s="27"/>
      <c r="H48" s="102">
        <f>'[18]DNSP Data Inputs 2009-11'!I110</f>
        <v>76885</v>
      </c>
      <c r="I48" s="102">
        <f>'[18]DNSP Data Inputs 2009-11'!J110</f>
        <v>79300</v>
      </c>
      <c r="J48" s="27">
        <f>'[19]DNSP Data Inputs 2011-15'!N100</f>
        <v>81747</v>
      </c>
      <c r="K48" s="104">
        <f>'[11]DNSP Data Inputs 2012-15'!O100</f>
        <v>83175.75</v>
      </c>
      <c r="L48" s="104">
        <f>'[11]DNSP Data Inputs 2012-15'!P100</f>
        <v>84284.130234145021</v>
      </c>
      <c r="M48" s="104">
        <f>'[11]DNSP Data Inputs 2012-15'!Q100</f>
        <v>85357.055867229894</v>
      </c>
      <c r="N48" s="1"/>
    </row>
    <row r="49" spans="1:16" s="17" customFormat="1" x14ac:dyDescent="0.25">
      <c r="A49" s="4"/>
      <c r="B49" s="11" t="s">
        <v>62</v>
      </c>
      <c r="C49" s="22"/>
      <c r="D49" s="27">
        <f>'[11]IMRO Decision 2006-10'!J404</f>
        <v>82453.314942680299</v>
      </c>
      <c r="E49" s="27">
        <f>'[11]IMRO Decision 2006-10'!K404</f>
        <v>82990.399336892544</v>
      </c>
      <c r="F49" s="27">
        <f>'[11]IMRO Decision 2006-10'!L404</f>
        <v>83437.127095429198</v>
      </c>
      <c r="G49" s="27">
        <f>'[11]IMRO Decision 2006-10'!M404</f>
        <v>83883.667122120998</v>
      </c>
      <c r="H49" s="102">
        <f>'[18]DNSP Data Inputs 2009-11'!I111</f>
        <v>53262</v>
      </c>
      <c r="I49" s="102">
        <f>'[18]DNSP Data Inputs 2009-11'!J111</f>
        <v>53533</v>
      </c>
      <c r="J49" s="27">
        <f>'[19]DNSP Data Inputs 2011-15'!N101</f>
        <v>42013.18</v>
      </c>
      <c r="K49" s="104">
        <f>'[11]DNSP Data Inputs 2012-15'!O101</f>
        <v>42268.18</v>
      </c>
      <c r="L49" s="104">
        <f>'[11]DNSP Data Inputs 2012-15'!P101</f>
        <v>42292.871638879471</v>
      </c>
      <c r="M49" s="104">
        <f>'[11]DNSP Data Inputs 2012-15'!Q101</f>
        <v>42316.309334747828</v>
      </c>
      <c r="N49" s="1"/>
    </row>
    <row r="50" spans="1:16" s="17" customFormat="1" x14ac:dyDescent="0.25">
      <c r="A50" s="4"/>
      <c r="B50" s="11" t="s">
        <v>63</v>
      </c>
      <c r="C50" s="22"/>
      <c r="D50" s="27">
        <f>'[11]IMRO Decision 2006-10'!J405</f>
        <v>1478.232343763259</v>
      </c>
      <c r="E50" s="27">
        <f>'[11]IMRO Decision 2006-10'!K405</f>
        <v>1505.1880460207444</v>
      </c>
      <c r="F50" s="27">
        <f>'[11]IMRO Decision 2006-10'!L405</f>
        <v>1530.9472505786187</v>
      </c>
      <c r="G50" s="27">
        <f>'[11]IMRO Decision 2006-10'!M405</f>
        <v>1556.1436981534141</v>
      </c>
      <c r="H50" s="102">
        <f>'[18]DNSP Data Inputs 2009-11'!I112</f>
        <v>2242</v>
      </c>
      <c r="I50" s="102">
        <f>'[18]DNSP Data Inputs 2009-11'!J112</f>
        <v>2275</v>
      </c>
      <c r="J50" s="27">
        <f>'[19]DNSP Data Inputs 2011-15'!N102</f>
        <v>3767.4999750000002</v>
      </c>
      <c r="K50" s="104">
        <f>'[11]DNSP Data Inputs 2012-15'!O102</f>
        <v>3786.4999750000002</v>
      </c>
      <c r="L50" s="104">
        <f>'[11]DNSP Data Inputs 2012-15'!P102</f>
        <v>3826.2809487502545</v>
      </c>
      <c r="M50" s="104">
        <f>'[11]DNSP Data Inputs 2012-15'!Q102</f>
        <v>3864.6927280900645</v>
      </c>
      <c r="N50" s="1"/>
    </row>
    <row r="51" spans="1:16" s="17" customFormat="1" x14ac:dyDescent="0.25">
      <c r="A51" s="4"/>
      <c r="B51" s="5" t="s">
        <v>6</v>
      </c>
      <c r="C51" s="22"/>
      <c r="D51" s="18">
        <f>SUM(D46:D50)</f>
        <v>747450.99999999988</v>
      </c>
      <c r="E51" s="18">
        <f t="shared" ref="E51:G51" si="14">SUM(E46:E50)</f>
        <v>759339.74999999977</v>
      </c>
      <c r="F51" s="18">
        <f t="shared" si="14"/>
        <v>748509.32542202831</v>
      </c>
      <c r="G51" s="18">
        <f t="shared" si="14"/>
        <v>737857.94078350009</v>
      </c>
      <c r="H51" s="18">
        <f t="shared" ref="H51" si="15">SUM(H46:H50)</f>
        <v>649641</v>
      </c>
      <c r="I51" s="18">
        <f t="shared" ref="I51:J51" si="16">SUM(I46:I50)</f>
        <v>663736</v>
      </c>
      <c r="J51" s="18">
        <f t="shared" si="16"/>
        <v>664644.67997500009</v>
      </c>
      <c r="K51" s="18">
        <f t="shared" ref="K51" si="17">SUM(K46:K50)</f>
        <v>675397.42997500009</v>
      </c>
      <c r="L51" s="18">
        <f t="shared" ref="L51" si="18">SUM(L46:L50)</f>
        <v>685509.34197499999</v>
      </c>
      <c r="M51" s="18">
        <f t="shared" ref="M51" si="19">SUM(M46:M50)</f>
        <v>695360.98680500023</v>
      </c>
      <c r="N51" s="1"/>
    </row>
    <row r="52" spans="1:16" s="17" customFormat="1" x14ac:dyDescent="0.25">
      <c r="A52" s="4"/>
      <c r="B52" s="5"/>
      <c r="C52" s="22"/>
      <c r="D52" s="18"/>
      <c r="E52" s="18"/>
      <c r="F52" s="18"/>
      <c r="G52" s="18"/>
      <c r="H52" s="18"/>
      <c r="I52" s="27"/>
      <c r="J52" s="27"/>
      <c r="K52" s="27"/>
      <c r="L52" s="27"/>
      <c r="M52" s="27"/>
      <c r="N52" s="1"/>
    </row>
    <row r="53" spans="1:16" s="17" customFormat="1" x14ac:dyDescent="0.25">
      <c r="A53" s="4"/>
      <c r="B53" s="5" t="s">
        <v>72</v>
      </c>
      <c r="C53" s="22"/>
      <c r="D53" s="18">
        <f>'[11]Data 2006-08'!D59</f>
        <v>747003</v>
      </c>
      <c r="E53" s="18">
        <f>'[11]Data 2006-08'!E59</f>
        <v>754801</v>
      </c>
      <c r="F53" s="18">
        <f>'[11]Data 2006-08'!F59</f>
        <v>766965</v>
      </c>
      <c r="G53" s="18"/>
      <c r="H53" s="18"/>
      <c r="I53" s="27"/>
      <c r="J53" s="27"/>
      <c r="K53" s="27"/>
      <c r="L53" s="27"/>
      <c r="M53" s="27"/>
      <c r="N53" s="1"/>
    </row>
    <row r="54" spans="1:16" s="15" customFormat="1" x14ac:dyDescent="0.25">
      <c r="A54" s="7"/>
      <c r="B54" s="21"/>
      <c r="C54" s="21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6" s="17" customFormat="1" x14ac:dyDescent="0.25">
      <c r="A55" s="4"/>
      <c r="B55" s="19"/>
      <c r="C55" s="19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6" s="17" customFormat="1" x14ac:dyDescent="0.25">
      <c r="A56" s="18" t="s">
        <v>12</v>
      </c>
      <c r="B56" s="24"/>
      <c r="C56" s="2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6" x14ac:dyDescent="0.25">
      <c r="B57" s="19" t="str">
        <f>B45</f>
        <v>Meter type</v>
      </c>
      <c r="C57" s="23"/>
      <c r="D57" s="3"/>
      <c r="E57" s="3"/>
      <c r="F57" s="3"/>
      <c r="G57" s="3"/>
      <c r="H57" s="3"/>
      <c r="I57" s="3"/>
      <c r="J57" s="3"/>
      <c r="K57" s="3"/>
      <c r="L57" s="3"/>
      <c r="M57" s="3"/>
      <c r="N57" s="1">
        <f>SUM(D57:M57)</f>
        <v>0</v>
      </c>
    </row>
    <row r="58" spans="1:16" x14ac:dyDescent="0.25">
      <c r="B58" s="11" t="s">
        <v>64</v>
      </c>
      <c r="C58" s="23"/>
      <c r="D58" s="3">
        <f>'[10]IMRO Decision 2006-10'!J402</f>
        <v>219872</v>
      </c>
      <c r="E58" s="3">
        <f>'[10]IMRO Decision 2006-10'!K402</f>
        <v>223531</v>
      </c>
      <c r="F58" s="3">
        <f>'[10]IMRO Decision 2006-10'!L402</f>
        <v>226952</v>
      </c>
      <c r="G58" s="3">
        <f>'[10]IMRO Decision 2006-10'!M402</f>
        <v>230406</v>
      </c>
      <c r="H58" s="3">
        <f>'[20]DNSP Data Inputs 2009-11'!I102</f>
        <v>236549.22881439043</v>
      </c>
      <c r="I58" s="3">
        <f>'[20]DNSP Data Inputs 2009-11'!J102</f>
        <v>241783.64399999997</v>
      </c>
      <c r="J58" s="3"/>
      <c r="K58" s="3">
        <f>'[10]DNSP Data Inputs 2012-15'!O92</f>
        <v>249999.48384922594</v>
      </c>
      <c r="L58" s="3">
        <f>'[10]DNSP Data Inputs 2012-15'!P92</f>
        <v>254072.24440003326</v>
      </c>
      <c r="M58" s="3">
        <f>'[10]DNSP Data Inputs 2012-15'!Q92</f>
        <v>256828.86434831121</v>
      </c>
    </row>
    <row r="59" spans="1:16" x14ac:dyDescent="0.25">
      <c r="B59" s="11" t="s">
        <v>65</v>
      </c>
      <c r="C59" s="23"/>
      <c r="D59" s="3"/>
      <c r="E59" s="3"/>
      <c r="F59" s="3"/>
      <c r="G59" s="3"/>
      <c r="H59" s="3">
        <f>'[20]DNSP Data Inputs 2009-11'!I103</f>
        <v>34814.263108918894</v>
      </c>
      <c r="I59" s="3">
        <f>'[20]DNSP Data Inputs 2009-11'!J103</f>
        <v>35583.96</v>
      </c>
      <c r="J59" s="3"/>
      <c r="K59" s="3">
        <f>'[10]DNSP Data Inputs 2012-15'!O93</f>
        <v>31632.350361878543</v>
      </c>
      <c r="L59" s="3">
        <f>'[10]DNSP Data Inputs 2012-15'!P93</f>
        <v>31065.143117597694</v>
      </c>
      <c r="M59" s="3">
        <f>'[10]DNSP Data Inputs 2012-15'!Q93</f>
        <v>31402.192107015238</v>
      </c>
    </row>
    <row r="60" spans="1:16" x14ac:dyDescent="0.25">
      <c r="B60" s="11" t="s">
        <v>66</v>
      </c>
      <c r="C60" s="23"/>
      <c r="D60" s="34">
        <f>'[10]IMRO Decision 2006-10'!J403</f>
        <v>38698</v>
      </c>
      <c r="E60" s="34">
        <f>'[10]IMRO Decision 2006-10'!K403</f>
        <v>39342</v>
      </c>
      <c r="F60" s="34">
        <f>'[10]IMRO Decision 2006-10'!L403</f>
        <v>39944</v>
      </c>
      <c r="G60" s="34">
        <f>'[10]IMRO Decision 2006-10'!M403</f>
        <v>40552</v>
      </c>
      <c r="H60" s="3">
        <f>'[20]DNSP Data Inputs 2009-11'!I104</f>
        <v>0</v>
      </c>
      <c r="I60" s="3">
        <f>'[20]DNSP Data Inputs 2009-11'!J104</f>
        <v>0</v>
      </c>
      <c r="J60" s="3"/>
      <c r="K60" s="3">
        <f>'[10]DNSP Data Inputs 2012-15'!O94</f>
        <v>0</v>
      </c>
      <c r="L60" s="3">
        <f>'[10]DNSP Data Inputs 2012-15'!P94</f>
        <v>0</v>
      </c>
      <c r="M60" s="3">
        <f>'[10]DNSP Data Inputs 2012-15'!Q94</f>
        <v>0</v>
      </c>
    </row>
    <row r="61" spans="1:16" x14ac:dyDescent="0.25">
      <c r="B61" s="11" t="s">
        <v>57</v>
      </c>
      <c r="C61" s="23"/>
      <c r="D61" s="34">
        <f>'[10]IMRO Decision 2006-10'!J404</f>
        <v>25596</v>
      </c>
      <c r="E61" s="34">
        <f>'[10]IMRO Decision 2006-10'!K404</f>
        <v>26022</v>
      </c>
      <c r="F61" s="34">
        <f>'[10]IMRO Decision 2006-10'!L404</f>
        <v>26420</v>
      </c>
      <c r="G61" s="34">
        <f>'[10]IMRO Decision 2006-10'!M404</f>
        <v>26822</v>
      </c>
      <c r="H61" s="3">
        <f>'[20]DNSP Data Inputs 2009-11'!I105</f>
        <v>30999.969287682739</v>
      </c>
      <c r="I61" s="3">
        <f>'[20]DNSP Data Inputs 2009-11'!J105</f>
        <v>31682.21</v>
      </c>
      <c r="J61" s="3"/>
      <c r="K61" s="3">
        <f>'[10]DNSP Data Inputs 2012-15'!O95</f>
        <v>32475.769470302679</v>
      </c>
      <c r="L61" s="3">
        <f>'[10]DNSP Data Inputs 2012-15'!P95</f>
        <v>32880.004813112952</v>
      </c>
      <c r="M61" s="3">
        <f>'[10]DNSP Data Inputs 2012-15'!Q95</f>
        <v>33236.744595458455</v>
      </c>
    </row>
    <row r="62" spans="1:16" x14ac:dyDescent="0.25">
      <c r="B62" s="11" t="s">
        <v>67</v>
      </c>
      <c r="C62" s="23"/>
      <c r="D62" s="3"/>
      <c r="E62" s="3"/>
      <c r="F62" s="3"/>
      <c r="G62" s="3"/>
      <c r="H62" s="3">
        <f>'[20]DNSP Data Inputs 2009-11'!I106</f>
        <v>0</v>
      </c>
      <c r="I62" s="3">
        <f>'[20]DNSP Data Inputs 2009-11'!J106</f>
        <v>0</v>
      </c>
      <c r="J62" s="3"/>
      <c r="K62" s="3">
        <f>'[10]DNSP Data Inputs 2012-15'!O96</f>
        <v>0</v>
      </c>
      <c r="L62" s="3">
        <f>'[10]DNSP Data Inputs 2012-15'!P96</f>
        <v>0</v>
      </c>
      <c r="M62" s="3">
        <f>'[10]DNSP Data Inputs 2012-15'!Q96</f>
        <v>0</v>
      </c>
    </row>
    <row r="63" spans="1:16" x14ac:dyDescent="0.25">
      <c r="B63" s="11" t="s">
        <v>68</v>
      </c>
      <c r="C63" s="23"/>
      <c r="D63" s="3">
        <f>'[10]IMRO Decision 2006-10'!J405</f>
        <v>1885</v>
      </c>
      <c r="E63" s="3">
        <f>'[10]IMRO Decision 2006-10'!K405</f>
        <v>1916</v>
      </c>
      <c r="F63" s="3">
        <f>'[10]IMRO Decision 2006-10'!L405</f>
        <v>1946</v>
      </c>
      <c r="G63" s="3">
        <f>'[10]IMRO Decision 2006-10'!M405</f>
        <v>1975</v>
      </c>
      <c r="H63" s="3">
        <f>'[20]DNSP Data Inputs 2009-11'!I107</f>
        <v>3026.1262320478227</v>
      </c>
      <c r="I63" s="3">
        <f>'[20]DNSP Data Inputs 2009-11'!J107</f>
        <v>3090.1860000000006</v>
      </c>
      <c r="J63" s="3"/>
      <c r="K63" s="3">
        <f>'[10]DNSP Data Inputs 2012-15'!O97</f>
        <v>2269.1312264210333</v>
      </c>
      <c r="L63" s="3">
        <f>'[10]DNSP Data Inputs 2012-15'!P97</f>
        <v>2297.3757623983129</v>
      </c>
      <c r="M63" s="3">
        <f>'[10]DNSP Data Inputs 2012-15'!Q97</f>
        <v>2322.3017115915122</v>
      </c>
    </row>
    <row r="64" spans="1:16" x14ac:dyDescent="0.25">
      <c r="B64" s="5" t="s">
        <v>6</v>
      </c>
      <c r="C64" s="94"/>
      <c r="D64" s="18">
        <f>SUM(D58:D63)</f>
        <v>286051</v>
      </c>
      <c r="E64" s="18">
        <f t="shared" ref="E64:G64" si="20">SUM(E58:E63)</f>
        <v>290811</v>
      </c>
      <c r="F64" s="18">
        <f t="shared" si="20"/>
        <v>295262</v>
      </c>
      <c r="G64" s="18">
        <f t="shared" si="20"/>
        <v>299755</v>
      </c>
      <c r="H64" s="18">
        <f t="shared" ref="H64" si="21">SUM(H58:H63)</f>
        <v>305389.58744303987</v>
      </c>
      <c r="I64" s="18">
        <f t="shared" ref="I64" si="22">SUM(I58:I63)</f>
        <v>312140</v>
      </c>
      <c r="J64" s="18">
        <f>AVERAGE(I64,K64)</f>
        <v>314258.36745391414</v>
      </c>
      <c r="K64" s="18">
        <f t="shared" ref="K64" si="23">SUM(K58:K63)</f>
        <v>316376.73490782821</v>
      </c>
      <c r="L64" s="18">
        <f t="shared" ref="L64" si="24">SUM(L58:L63)</f>
        <v>320314.76809314219</v>
      </c>
      <c r="M64" s="18">
        <f t="shared" ref="M64" si="25">SUM(M58:M63)</f>
        <v>323790.10276237637</v>
      </c>
      <c r="N64" s="10"/>
      <c r="O64" s="33"/>
      <c r="P64" s="36"/>
    </row>
    <row r="65" spans="2:13" x14ac:dyDescent="0.25">
      <c r="B65" s="23"/>
      <c r="C65" s="23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2:13" x14ac:dyDescent="0.25">
      <c r="B66" s="5" t="s">
        <v>72</v>
      </c>
      <c r="D66" s="35">
        <f>'[10]Data 2006-08'!D59</f>
        <v>284672</v>
      </c>
      <c r="E66" s="35">
        <f>'[10]Data 2006-08'!E59</f>
        <v>292765</v>
      </c>
      <c r="F66" s="35">
        <f>'[10]Data 2006-08'!F59</f>
        <v>298686</v>
      </c>
    </row>
  </sheetData>
  <mergeCells count="2">
    <mergeCell ref="D6:G6"/>
    <mergeCell ref="H6:M6"/>
  </mergeCells>
  <pageMargins left="0.70866141732283472" right="0.70866141732283472" top="0.74803149606299213" bottom="0.74803149606299213" header="0.31496062992125984" footer="0.31496062992125984"/>
  <pageSetup paperSize="8" scale="71" orientation="landscape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76"/>
  <sheetViews>
    <sheetView zoomScale="85" zoomScaleNormal="85" workbookViewId="0">
      <selection activeCell="E43" sqref="E43"/>
    </sheetView>
  </sheetViews>
  <sheetFormatPr defaultRowHeight="15" x14ac:dyDescent="0.25"/>
  <cols>
    <col min="2" max="2" width="34.5703125" customWidth="1"/>
    <col min="3" max="13" width="17.7109375" customWidth="1"/>
  </cols>
  <sheetData>
    <row r="2" spans="2:12" x14ac:dyDescent="0.25">
      <c r="B2" s="119" t="s">
        <v>92</v>
      </c>
    </row>
    <row r="3" spans="2:12" x14ac:dyDescent="0.25">
      <c r="B3" s="119"/>
    </row>
    <row r="4" spans="2:12" x14ac:dyDescent="0.25">
      <c r="B4" s="119" t="s">
        <v>98</v>
      </c>
      <c r="C4" s="134">
        <v>5.8999999999999997E-2</v>
      </c>
    </row>
    <row r="5" spans="2:12" x14ac:dyDescent="0.25">
      <c r="B5" s="119" t="s">
        <v>99</v>
      </c>
      <c r="C5" s="134">
        <v>6.7699999999999996E-2</v>
      </c>
    </row>
    <row r="6" spans="2:12" x14ac:dyDescent="0.25">
      <c r="B6" s="119" t="s">
        <v>100</v>
      </c>
      <c r="C6" s="134">
        <v>5.62E-2</v>
      </c>
    </row>
    <row r="7" spans="2:12" x14ac:dyDescent="0.25">
      <c r="B7" s="119"/>
    </row>
    <row r="8" spans="2:12" x14ac:dyDescent="0.25">
      <c r="B8" s="125"/>
      <c r="C8" s="75">
        <v>2006</v>
      </c>
      <c r="D8" s="75">
        <v>2007</v>
      </c>
      <c r="E8" s="75">
        <v>2008</v>
      </c>
      <c r="F8" s="75">
        <v>2009</v>
      </c>
      <c r="G8" s="75">
        <v>2010</v>
      </c>
      <c r="H8" s="75">
        <v>2011</v>
      </c>
      <c r="I8" s="75">
        <v>2012</v>
      </c>
      <c r="J8" s="75">
        <v>2013</v>
      </c>
      <c r="K8" s="75">
        <v>2014</v>
      </c>
      <c r="L8" s="75">
        <v>2015</v>
      </c>
    </row>
    <row r="9" spans="2:12" x14ac:dyDescent="0.25">
      <c r="B9" s="135" t="s">
        <v>95</v>
      </c>
      <c r="C9" s="136">
        <v>3.0300000000000001E-2</v>
      </c>
      <c r="D9" s="137">
        <f>'Capex (2)'!E3</f>
        <v>3.9385847797062556E-2</v>
      </c>
      <c r="E9" s="137">
        <f>'Capex (2)'!F3</f>
        <v>1.862556197816323E-2</v>
      </c>
      <c r="F9" s="137">
        <f>'Capex (2)'!G3</f>
        <v>4.9810844892812067E-2</v>
      </c>
      <c r="G9" s="137">
        <f>'Capex (2)'!H3</f>
        <v>1.2612612612612484E-2</v>
      </c>
      <c r="H9" s="137">
        <f>'Capex (2)'!I3</f>
        <v>2.7876631079478242E-2</v>
      </c>
      <c r="I9" s="137">
        <f>'Capex (2)'!J3</f>
        <v>3.5199076745527913E-2</v>
      </c>
      <c r="J9" s="137">
        <f>'Capex (2)'!K3</f>
        <v>2.0040080160320661E-2</v>
      </c>
      <c r="K9" s="137">
        <f>'Capex (2)'!L3</f>
        <v>2.47E-2</v>
      </c>
      <c r="L9" s="137">
        <f>'Capex (2)'!M3</f>
        <v>2.47E-2</v>
      </c>
    </row>
    <row r="10" spans="2:12" x14ac:dyDescent="0.25">
      <c r="B10" s="138" t="s">
        <v>96</v>
      </c>
      <c r="C10" s="139">
        <f>C4</f>
        <v>5.8999999999999997E-2</v>
      </c>
      <c r="D10" s="139">
        <f>C4</f>
        <v>5.8999999999999997E-2</v>
      </c>
      <c r="E10" s="139">
        <f>C4</f>
        <v>5.8999999999999997E-2</v>
      </c>
      <c r="F10" s="139">
        <f>C5</f>
        <v>6.7699999999999996E-2</v>
      </c>
      <c r="G10" s="139">
        <f>C5</f>
        <v>6.7699999999999996E-2</v>
      </c>
      <c r="H10" s="139">
        <f>C5</f>
        <v>6.7699999999999996E-2</v>
      </c>
      <c r="I10" s="139">
        <f>C5</f>
        <v>6.7699999999999996E-2</v>
      </c>
      <c r="J10" s="139">
        <f>C5</f>
        <v>6.7699999999999996E-2</v>
      </c>
      <c r="K10" s="139">
        <f>C6</f>
        <v>5.62E-2</v>
      </c>
      <c r="L10" s="139">
        <f>C6</f>
        <v>5.62E-2</v>
      </c>
    </row>
    <row r="11" spans="2:12" x14ac:dyDescent="0.25">
      <c r="B11" s="140" t="s">
        <v>97</v>
      </c>
      <c r="C11" s="141">
        <f>(1+C10)*(1+C9)-1</f>
        <v>9.1087699999999883E-2</v>
      </c>
      <c r="D11" s="141">
        <f t="shared" ref="D11:L11" si="0">(1+D10)*(1+D9)-1</f>
        <v>0.10070961281708923</v>
      </c>
      <c r="E11" s="141">
        <f t="shared" si="0"/>
        <v>7.8724470134874824E-2</v>
      </c>
      <c r="F11" s="141">
        <f t="shared" si="0"/>
        <v>0.12088303909205544</v>
      </c>
      <c r="G11" s="141">
        <f t="shared" si="0"/>
        <v>8.11664864864865E-2</v>
      </c>
      <c r="H11" s="141">
        <f t="shared" si="0"/>
        <v>9.7463879003558906E-2</v>
      </c>
      <c r="I11" s="141">
        <f t="shared" si="0"/>
        <v>0.1052820542412003</v>
      </c>
      <c r="J11" s="141">
        <f t="shared" si="0"/>
        <v>8.9096793587174483E-2</v>
      </c>
      <c r="K11" s="141">
        <f t="shared" si="0"/>
        <v>8.2288139999999954E-2</v>
      </c>
      <c r="L11" s="141">
        <f t="shared" si="0"/>
        <v>8.2288139999999954E-2</v>
      </c>
    </row>
    <row r="12" spans="2:12" s="2" customFormat="1" x14ac:dyDescent="0.25">
      <c r="B12" s="142"/>
      <c r="C12" s="143"/>
      <c r="D12" s="143"/>
      <c r="E12" s="143"/>
      <c r="F12" s="143"/>
      <c r="G12" s="143"/>
      <c r="H12" s="143"/>
      <c r="I12" s="143"/>
      <c r="J12" s="143"/>
      <c r="K12" s="143"/>
      <c r="L12" s="143"/>
    </row>
    <row r="13" spans="2:12" s="2" customFormat="1" x14ac:dyDescent="0.25">
      <c r="B13" s="144" t="s">
        <v>101</v>
      </c>
      <c r="C13" s="145">
        <f>1/(1+C11)*(1+C11)^(0.5)</f>
        <v>0.95734874000266845</v>
      </c>
      <c r="D13" s="145">
        <f>C13/(1+D11)</f>
        <v>0.86975595457233112</v>
      </c>
      <c r="E13" s="145">
        <f t="shared" ref="E13:L13" si="1">D13/(1+E11)</f>
        <v>0.80628184365149702</v>
      </c>
      <c r="F13" s="145">
        <f t="shared" si="1"/>
        <v>0.71932736559615207</v>
      </c>
      <c r="G13" s="145">
        <f t="shared" si="1"/>
        <v>0.66532525248149466</v>
      </c>
      <c r="H13" s="145">
        <f t="shared" si="1"/>
        <v>0.60623886144259798</v>
      </c>
      <c r="I13" s="145">
        <f t="shared" si="1"/>
        <v>0.54849244961169108</v>
      </c>
      <c r="J13" s="145">
        <f t="shared" si="1"/>
        <v>0.50362139787879945</v>
      </c>
      <c r="K13" s="145">
        <f t="shared" si="1"/>
        <v>0.46533023809980906</v>
      </c>
      <c r="L13" s="145">
        <f t="shared" si="1"/>
        <v>0.42995041791718153</v>
      </c>
    </row>
    <row r="14" spans="2:12" s="2" customFormat="1" x14ac:dyDescent="0.25"/>
    <row r="15" spans="2:12" x14ac:dyDescent="0.25">
      <c r="B15" s="119" t="s">
        <v>94</v>
      </c>
    </row>
    <row r="17" spans="2:12" x14ac:dyDescent="0.25">
      <c r="B17" s="125"/>
      <c r="C17" s="75">
        <v>2006</v>
      </c>
      <c r="D17" s="75">
        <v>2007</v>
      </c>
      <c r="E17" s="75">
        <v>2008</v>
      </c>
      <c r="F17" s="75">
        <v>2009</v>
      </c>
      <c r="G17" s="75">
        <v>2010</v>
      </c>
      <c r="H17" s="75">
        <v>2011</v>
      </c>
      <c r="I17" s="75">
        <v>2012</v>
      </c>
      <c r="J17" s="75">
        <v>2013</v>
      </c>
      <c r="K17" s="75">
        <v>2014</v>
      </c>
      <c r="L17" s="75">
        <v>2015</v>
      </c>
    </row>
    <row r="18" spans="2:12" x14ac:dyDescent="0.25">
      <c r="B18" s="68" t="s">
        <v>20</v>
      </c>
      <c r="C18" s="114">
        <f>'Capex (2)'!D17+'Opex (2)'!D22</f>
        <v>0</v>
      </c>
      <c r="D18" s="114">
        <f>'Capex (2)'!E17+'Opex (2)'!E22</f>
        <v>7027000</v>
      </c>
      <c r="E18" s="114">
        <f>'Capex (2)'!F17+'Opex (2)'!F22</f>
        <v>28573256</v>
      </c>
      <c r="F18" s="126">
        <f>'Capex (2)'!G17+'Opex (2)'!G37</f>
        <v>87643996.881953061</v>
      </c>
      <c r="G18" s="115">
        <f>'Capex (2)'!H17+'Opex (2)'!H37</f>
        <v>75045607</v>
      </c>
      <c r="H18" s="115">
        <f>'Capex (2)'!I17+'Opex (2)'!I37</f>
        <v>96922793.570000097</v>
      </c>
      <c r="I18" s="115">
        <f>'Capex (2)'!J17+'Opex (2)'!J37</f>
        <v>91944130.909999996</v>
      </c>
      <c r="J18" s="115">
        <f>'Capex (2)'!K17+'Opex (2)'!K37</f>
        <v>104182433.17874946</v>
      </c>
      <c r="K18" s="115">
        <f>'Capex (2)'!L17+'Opex (2)'!L37</f>
        <v>63074201.802884191</v>
      </c>
      <c r="L18" s="115">
        <f>'Capex (2)'!M17+'Opex (2)'!M37</f>
        <v>27641616.292057395</v>
      </c>
    </row>
    <row r="19" spans="2:12" x14ac:dyDescent="0.25">
      <c r="B19" s="68" t="s">
        <v>9</v>
      </c>
      <c r="C19" s="114">
        <f>'Capex (2)'!D29+'Opex (2)'!D53</f>
        <v>1861263.4597925446</v>
      </c>
      <c r="D19" s="114">
        <f>'Capex (2)'!E29+'Opex (2)'!E53</f>
        <v>8749247.3725752421</v>
      </c>
      <c r="E19" s="114">
        <f>'Capex (2)'!F29+'Opex (2)'!F53</f>
        <v>20925491.612279341</v>
      </c>
      <c r="F19" s="113">
        <f>'Capex (2)'!G29+'Opex (2)'!G68</f>
        <v>61227418.440356344</v>
      </c>
      <c r="G19" s="115">
        <f>'Capex (2)'!H29+'Opex (2)'!H68</f>
        <v>119806842.18812703</v>
      </c>
      <c r="H19" s="115">
        <f>'Capex (2)'!I29+'Opex (2)'!I68</f>
        <v>149879800.63193232</v>
      </c>
      <c r="I19" s="115">
        <f>'Capex (2)'!J29+'Opex (2)'!J68</f>
        <v>142052317.36119169</v>
      </c>
      <c r="J19" s="115">
        <f>'Capex (2)'!K29+'Opex (2)'!K68</f>
        <v>105925356.42548028</v>
      </c>
      <c r="K19" s="115">
        <f>'Capex (2)'!L29+'Opex (2)'!L68</f>
        <v>39679012.302672356</v>
      </c>
      <c r="L19" s="115">
        <f>'Capex (2)'!M29+'Opex (2)'!M68</f>
        <v>36905949.132754184</v>
      </c>
    </row>
    <row r="20" spans="2:12" x14ac:dyDescent="0.25">
      <c r="B20" s="68" t="s">
        <v>11</v>
      </c>
      <c r="C20" s="114">
        <f>'Capex (2)'!D41+'Opex (2)'!D84</f>
        <v>822753.45347736205</v>
      </c>
      <c r="D20" s="114">
        <f>'Capex (2)'!E41+'Opex (2)'!E84</f>
        <v>5037420.3861462232</v>
      </c>
      <c r="E20" s="114">
        <f>'Capex (2)'!F41+'Opex (2)'!F84</f>
        <v>11411029.470988724</v>
      </c>
      <c r="F20" s="113">
        <f>'Capex (2)'!G41+'Opex (2)'!G99</f>
        <v>28974854.494435403</v>
      </c>
      <c r="G20" s="115">
        <f>'Capex (2)'!H41+'Opex (2)'!H99</f>
        <v>50379802.017215773</v>
      </c>
      <c r="H20" s="115">
        <f>'Capex (2)'!I41+'Opex (2)'!I99</f>
        <v>60575136.649749063</v>
      </c>
      <c r="I20" s="115">
        <f>'Capex (2)'!J41+'Opex (2)'!J99</f>
        <v>55976335.021580979</v>
      </c>
      <c r="J20" s="115">
        <f>'Capex (2)'!K41+'Opex (2)'!K99</f>
        <v>42778635.100661665</v>
      </c>
      <c r="K20" s="115">
        <f>'Capex (2)'!L41+'Opex (2)'!L99</f>
        <v>15602188.623969261</v>
      </c>
      <c r="L20" s="115">
        <f>'Capex (2)'!M41+'Opex (2)'!M99</f>
        <v>15002448.974088121</v>
      </c>
    </row>
    <row r="21" spans="2:12" x14ac:dyDescent="0.25">
      <c r="B21" s="68" t="s">
        <v>10</v>
      </c>
      <c r="C21" s="114">
        <f>'Capex (2)'!D53+'Opex (2)'!D115</f>
        <v>1027698.05</v>
      </c>
      <c r="D21" s="114">
        <f>'Capex (2)'!E53+'Opex (2)'!E115</f>
        <v>7138969.1899999995</v>
      </c>
      <c r="E21" s="114">
        <f>'Capex (2)'!F53+'Opex (2)'!F115</f>
        <v>18041495.214579564</v>
      </c>
      <c r="F21" s="113">
        <f>'Capex (2)'!G53+'Opex (2)'!G130</f>
        <v>65726740.886244349</v>
      </c>
      <c r="G21" s="115">
        <f>'Capex (2)'!H53+'Opex (2)'!H130</f>
        <v>128657558.19636115</v>
      </c>
      <c r="H21" s="115">
        <f>'Capex (2)'!I53+'Opex (2)'!I130</f>
        <v>155505604.57239208</v>
      </c>
      <c r="I21" s="115">
        <f>'Capex (2)'!J53+'Opex (2)'!J130</f>
        <v>181029383.23018336</v>
      </c>
      <c r="J21" s="115">
        <f>'Capex (2)'!K53+'Opex (2)'!K130</f>
        <v>172423893.48229992</v>
      </c>
      <c r="K21" s="115">
        <f>'Capex (2)'!L53+'Opex (2)'!L130</f>
        <v>48330315.473931029</v>
      </c>
      <c r="L21" s="115">
        <f>'Capex (2)'!M53+'Opex (2)'!M130</f>
        <v>47375582.872986063</v>
      </c>
    </row>
    <row r="22" spans="2:12" x14ac:dyDescent="0.25">
      <c r="B22" s="69" t="s">
        <v>12</v>
      </c>
      <c r="C22" s="117">
        <f>'Capex (2)'!D65+'Opex (2)'!D146</f>
        <v>0</v>
      </c>
      <c r="D22" s="117">
        <f>'Capex (2)'!E65+'Opex (2)'!E146</f>
        <v>1051789</v>
      </c>
      <c r="E22" s="117">
        <f>'Capex (2)'!F65+'Opex (2)'!F146</f>
        <v>15824063</v>
      </c>
      <c r="F22" s="116">
        <f>'Capex (2)'!G65+'Opex (2)'!G161</f>
        <v>72873063.083862662</v>
      </c>
      <c r="G22" s="118">
        <f>'Capex (2)'!H65+'Opex (2)'!H161</f>
        <v>49813510</v>
      </c>
      <c r="H22" s="118">
        <f>'Capex (2)'!I65+'Opex (2)'!I161</f>
        <v>45874574.91112709</v>
      </c>
      <c r="I22" s="118">
        <f>'Capex (2)'!J65+'Opex (2)'!J161</f>
        <v>49556540.459826529</v>
      </c>
      <c r="J22" s="118">
        <f>'Capex (2)'!K65+'Opex (2)'!K161</f>
        <v>60542637.778458863</v>
      </c>
      <c r="K22" s="118">
        <f>'Capex (2)'!L65+'Opex (2)'!L161</f>
        <v>27834412.741576351</v>
      </c>
      <c r="L22" s="118">
        <f>'Capex (2)'!M65+'Opex (2)'!M161</f>
        <v>21343139.853273351</v>
      </c>
    </row>
    <row r="23" spans="2:12" s="2" customFormat="1" x14ac:dyDescent="0.25">
      <c r="B23" s="101"/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2:12" s="2" customFormat="1" x14ac:dyDescent="0.25">
      <c r="B24" s="5" t="s">
        <v>104</v>
      </c>
    </row>
    <row r="25" spans="2:12" s="2" customFormat="1" x14ac:dyDescent="0.25"/>
    <row r="26" spans="2:12" x14ac:dyDescent="0.25">
      <c r="B26" s="125"/>
      <c r="C26" s="75">
        <v>2006</v>
      </c>
      <c r="D26" s="75">
        <v>2007</v>
      </c>
      <c r="E26" s="75">
        <v>2008</v>
      </c>
      <c r="F26" s="75">
        <v>2009</v>
      </c>
      <c r="G26" s="75">
        <v>2010</v>
      </c>
      <c r="H26" s="75">
        <v>2011</v>
      </c>
      <c r="I26" s="75">
        <v>2012</v>
      </c>
      <c r="J26" s="75">
        <v>2013</v>
      </c>
      <c r="K26" s="75">
        <v>2014</v>
      </c>
      <c r="L26" s="75">
        <v>2015</v>
      </c>
    </row>
    <row r="27" spans="2:12" x14ac:dyDescent="0.25">
      <c r="B27" s="68" t="s">
        <v>20</v>
      </c>
      <c r="C27" s="114">
        <f>Charges!C6</f>
        <v>0</v>
      </c>
      <c r="D27" s="114">
        <f>Charges!D6</f>
        <v>0</v>
      </c>
      <c r="E27" s="114">
        <f>Charges!E6</f>
        <v>0</v>
      </c>
      <c r="F27" s="114">
        <f>Charges!F6</f>
        <v>18744172.440000001</v>
      </c>
      <c r="G27" s="114">
        <f>Charges!G6</f>
        <v>45994696</v>
      </c>
      <c r="H27" s="114">
        <f>Charges!H6</f>
        <v>61289216.629999898</v>
      </c>
      <c r="I27" s="114">
        <f>Charges!I6</f>
        <v>70848144.179999992</v>
      </c>
      <c r="J27" s="114">
        <f>Charges!J6</f>
        <v>84832297.569063827</v>
      </c>
      <c r="K27" s="114">
        <f>Charges!K6</f>
        <v>96520592.216561705</v>
      </c>
      <c r="L27" s="126">
        <f>Charges!L6</f>
        <v>119483730.32092296</v>
      </c>
    </row>
    <row r="28" spans="2:12" x14ac:dyDescent="0.25">
      <c r="B28" s="68" t="s">
        <v>9</v>
      </c>
      <c r="C28" s="114">
        <f>Charges!C7</f>
        <v>0</v>
      </c>
      <c r="D28" s="114">
        <f>Charges!D7</f>
        <v>0</v>
      </c>
      <c r="E28" s="114">
        <f>Charges!E7</f>
        <v>0</v>
      </c>
      <c r="F28" s="114">
        <f>Charges!F7</f>
        <v>33138971.770000003</v>
      </c>
      <c r="G28" s="114">
        <f>Charges!G7</f>
        <v>71092652.63000001</v>
      </c>
      <c r="H28" s="114">
        <f>Charges!H7</f>
        <v>72026210.274123311</v>
      </c>
      <c r="I28" s="114">
        <f>Charges!I7</f>
        <v>79301450.791750014</v>
      </c>
      <c r="J28" s="114">
        <f>Charges!J7</f>
        <v>99773666.653196007</v>
      </c>
      <c r="K28" s="114">
        <f>Charges!K7</f>
        <v>94024966.280226722</v>
      </c>
      <c r="L28" s="113">
        <f>Charges!L7</f>
        <v>95405963.638063192</v>
      </c>
    </row>
    <row r="29" spans="2:12" x14ac:dyDescent="0.25">
      <c r="B29" s="68" t="s">
        <v>11</v>
      </c>
      <c r="C29" s="114">
        <f>Charges!C8</f>
        <v>0</v>
      </c>
      <c r="D29" s="114">
        <f>Charges!D8</f>
        <v>0</v>
      </c>
      <c r="E29" s="114">
        <f>Charges!E8</f>
        <v>0</v>
      </c>
      <c r="F29" s="114">
        <f>Charges!F8</f>
        <v>12350974.449999999</v>
      </c>
      <c r="G29" s="114">
        <f>Charges!G8</f>
        <v>33035899.330000002</v>
      </c>
      <c r="H29" s="114">
        <f>Charges!H8</f>
        <v>29485898.359634101</v>
      </c>
      <c r="I29" s="114">
        <f>Charges!I8</f>
        <v>32426866.42625</v>
      </c>
      <c r="J29" s="114">
        <f>Charges!J8</f>
        <v>42301084.564956032</v>
      </c>
      <c r="K29" s="114">
        <f>Charges!K8</f>
        <v>40182345.223265752</v>
      </c>
      <c r="L29" s="113">
        <f>Charges!L8</f>
        <v>40735105.010490604</v>
      </c>
    </row>
    <row r="30" spans="2:12" x14ac:dyDescent="0.25">
      <c r="B30" s="68" t="s">
        <v>10</v>
      </c>
      <c r="C30" s="114">
        <f>Charges!C9</f>
        <v>0</v>
      </c>
      <c r="D30" s="114">
        <f>Charges!D9</f>
        <v>0</v>
      </c>
      <c r="E30" s="114">
        <f>Charges!E9</f>
        <v>0</v>
      </c>
      <c r="F30" s="114">
        <f>Charges!F9</f>
        <v>37927245.233500004</v>
      </c>
      <c r="G30" s="114">
        <f>Charges!G9</f>
        <v>37927245.233500004</v>
      </c>
      <c r="H30" s="114">
        <f>Charges!H9</f>
        <v>37927245.233500004</v>
      </c>
      <c r="I30" s="114">
        <f>Charges!I9</f>
        <v>37927245.233500004</v>
      </c>
      <c r="J30" s="114">
        <f>Charges!J9</f>
        <v>98802817.787482992</v>
      </c>
      <c r="K30" s="114">
        <f>Charges!K9</f>
        <v>120941246.38320924</v>
      </c>
      <c r="L30" s="113">
        <f>Charges!L9</f>
        <v>147957184.38956797</v>
      </c>
    </row>
    <row r="31" spans="2:12" s="2" customFormat="1" x14ac:dyDescent="0.25">
      <c r="B31" s="69" t="s">
        <v>12</v>
      </c>
      <c r="C31" s="117">
        <f>Charges!C10</f>
        <v>0</v>
      </c>
      <c r="D31" s="117">
        <f>Charges!D10</f>
        <v>0</v>
      </c>
      <c r="E31" s="117">
        <f>Charges!E10</f>
        <v>0</v>
      </c>
      <c r="F31" s="117">
        <f>Charges!F10</f>
        <v>10895116.050000001</v>
      </c>
      <c r="G31" s="117">
        <f>Charges!G10</f>
        <v>10895116.050000001</v>
      </c>
      <c r="H31" s="117">
        <f>Charges!H10</f>
        <v>10895116.050000001</v>
      </c>
      <c r="I31" s="117">
        <f>Charges!I10</f>
        <v>10895116.050000001</v>
      </c>
      <c r="J31" s="117">
        <f>Charges!J10</f>
        <v>56286451.421473302</v>
      </c>
      <c r="K31" s="117">
        <f>Charges!K10</f>
        <v>64178565.861134835</v>
      </c>
      <c r="L31" s="116">
        <f>Charges!L10</f>
        <v>71873465.408268124</v>
      </c>
    </row>
    <row r="32" spans="2:12" s="2" customFormat="1" x14ac:dyDescent="0.25">
      <c r="B32" s="101"/>
      <c r="C32" s="40"/>
      <c r="D32" s="40"/>
      <c r="E32" s="40"/>
      <c r="F32" s="40"/>
      <c r="G32" s="40"/>
      <c r="H32" s="40"/>
      <c r="I32" s="40"/>
      <c r="J32" s="40"/>
      <c r="K32" s="40"/>
      <c r="L32" s="40"/>
    </row>
    <row r="33" spans="2:13" s="2" customFormat="1" x14ac:dyDescent="0.25">
      <c r="B33" s="101" t="s">
        <v>102</v>
      </c>
    </row>
    <row r="34" spans="2:13" s="2" customFormat="1" x14ac:dyDescent="0.25"/>
    <row r="35" spans="2:13" x14ac:dyDescent="0.25">
      <c r="B35" s="125"/>
      <c r="C35" s="75">
        <v>2006</v>
      </c>
      <c r="D35" s="75">
        <v>2007</v>
      </c>
      <c r="E35" s="75">
        <v>2008</v>
      </c>
      <c r="F35" s="75">
        <v>2009</v>
      </c>
      <c r="G35" s="75">
        <v>2010</v>
      </c>
      <c r="H35" s="75">
        <v>2011</v>
      </c>
      <c r="I35" s="75">
        <v>2012</v>
      </c>
      <c r="J35" s="75">
        <v>2013</v>
      </c>
      <c r="K35" s="75">
        <v>2014</v>
      </c>
      <c r="L35" s="75">
        <v>2015</v>
      </c>
      <c r="M35" s="84" t="s">
        <v>103</v>
      </c>
    </row>
    <row r="36" spans="2:13" x14ac:dyDescent="0.25">
      <c r="B36" s="68" t="s">
        <v>20</v>
      </c>
      <c r="C36" s="114">
        <f>C18*C$13</f>
        <v>0</v>
      </c>
      <c r="D36" s="114">
        <f t="shared" ref="D36:L36" si="2">D18*D$13</f>
        <v>6111775.0927797705</v>
      </c>
      <c r="E36" s="114">
        <f t="shared" si="2"/>
        <v>23038097.526806198</v>
      </c>
      <c r="F36" s="114">
        <f t="shared" si="2"/>
        <v>63044725.38741266</v>
      </c>
      <c r="G36" s="114">
        <f t="shared" si="2"/>
        <v>49929737.424902022</v>
      </c>
      <c r="H36" s="114">
        <f t="shared" si="2"/>
        <v>58758364.021712817</v>
      </c>
      <c r="I36" s="114">
        <f t="shared" si="2"/>
        <v>50430661.590243898</v>
      </c>
      <c r="J36" s="114">
        <f t="shared" si="2"/>
        <v>52468502.631896414</v>
      </c>
      <c r="K36" s="114">
        <f t="shared" si="2"/>
        <v>29350333.342891507</v>
      </c>
      <c r="L36" s="146">
        <f t="shared" si="2"/>
        <v>11884524.476676451</v>
      </c>
      <c r="M36" s="77">
        <f>SUM(C36:L36)</f>
        <v>345016721.49532175</v>
      </c>
    </row>
    <row r="37" spans="2:13" x14ac:dyDescent="0.25">
      <c r="B37" s="68" t="s">
        <v>9</v>
      </c>
      <c r="C37" s="114">
        <f>C19*C$13</f>
        <v>1781878.2280454</v>
      </c>
      <c r="D37" s="114">
        <f t="shared" ref="D37:L37" si="3">D19*D$13</f>
        <v>7609710.0003236393</v>
      </c>
      <c r="E37" s="114">
        <f t="shared" si="3"/>
        <v>16871843.956462525</v>
      </c>
      <c r="F37" s="114">
        <f t="shared" si="3"/>
        <v>44042557.608954787</v>
      </c>
      <c r="G37" s="114">
        <f t="shared" si="3"/>
        <v>79710517.527826205</v>
      </c>
      <c r="H37" s="114">
        <f t="shared" si="3"/>
        <v>90862959.688346222</v>
      </c>
      <c r="I37" s="114">
        <f t="shared" si="3"/>
        <v>77914623.522457376</v>
      </c>
      <c r="J37" s="114">
        <f t="shared" si="3"/>
        <v>53346276.073810451</v>
      </c>
      <c r="K37" s="114">
        <f t="shared" si="3"/>
        <v>18463844.242367782</v>
      </c>
      <c r="L37" s="114">
        <f t="shared" si="3"/>
        <v>15867728.253257904</v>
      </c>
      <c r="M37" s="66">
        <f t="shared" ref="M37:M40" si="4">SUM(C37:L37)</f>
        <v>406471939.1018523</v>
      </c>
    </row>
    <row r="38" spans="2:13" x14ac:dyDescent="0.25">
      <c r="B38" s="68" t="s">
        <v>11</v>
      </c>
      <c r="C38" s="114">
        <f>C20*C$13</f>
        <v>787661.98201939662</v>
      </c>
      <c r="D38" s="114">
        <f t="shared" ref="D38:L38" si="5">D20*D$13</f>
        <v>4381326.3765347293</v>
      </c>
      <c r="E38" s="114">
        <f t="shared" si="5"/>
        <v>9200505.8798303548</v>
      </c>
      <c r="F38" s="114">
        <f t="shared" si="5"/>
        <v>20842405.752014045</v>
      </c>
      <c r="G38" s="114">
        <f t="shared" si="5"/>
        <v>33518954.497071799</v>
      </c>
      <c r="H38" s="114">
        <f t="shared" si="5"/>
        <v>36723001.874273658</v>
      </c>
      <c r="I38" s="114">
        <f t="shared" si="5"/>
        <v>30702597.116271645</v>
      </c>
      <c r="J38" s="114">
        <f t="shared" si="5"/>
        <v>21544236.008742303</v>
      </c>
      <c r="K38" s="114">
        <f t="shared" si="5"/>
        <v>7260170.1472697482</v>
      </c>
      <c r="L38" s="114">
        <f t="shared" si="5"/>
        <v>6450309.2061903793</v>
      </c>
      <c r="M38" s="66">
        <f t="shared" si="4"/>
        <v>171411168.84021807</v>
      </c>
    </row>
    <row r="39" spans="2:13" x14ac:dyDescent="0.25">
      <c r="B39" s="68" t="s">
        <v>10</v>
      </c>
      <c r="C39" s="114">
        <f>C21*C$13</f>
        <v>983865.43327069946</v>
      </c>
      <c r="D39" s="114">
        <f t="shared" ref="D39:L39" si="6">D21*D$13</f>
        <v>6209160.9625109108</v>
      </c>
      <c r="E39" s="114">
        <f t="shared" si="6"/>
        <v>14546530.023840871</v>
      </c>
      <c r="F39" s="114">
        <f t="shared" si="6"/>
        <v>47279043.370923042</v>
      </c>
      <c r="G39" s="114">
        <f t="shared" si="6"/>
        <v>85599122.390646577</v>
      </c>
      <c r="H39" s="114">
        <f t="shared" si="6"/>
        <v>94273540.663909838</v>
      </c>
      <c r="I39" s="114">
        <f t="shared" si="6"/>
        <v>99293249.859616861</v>
      </c>
      <c r="J39" s="114">
        <f t="shared" si="6"/>
        <v>86836362.26326111</v>
      </c>
      <c r="K39" s="114">
        <f t="shared" si="6"/>
        <v>22489557.206923213</v>
      </c>
      <c r="L39" s="114">
        <f t="shared" si="6"/>
        <v>20369151.655310426</v>
      </c>
      <c r="M39" s="66">
        <f t="shared" si="4"/>
        <v>477879583.83021355</v>
      </c>
    </row>
    <row r="40" spans="2:13" x14ac:dyDescent="0.25">
      <c r="B40" s="69" t="s">
        <v>12</v>
      </c>
      <c r="C40" s="116">
        <f>C22*C$13</f>
        <v>0</v>
      </c>
      <c r="D40" s="116">
        <f t="shared" ref="D40:L40" si="7">D22*D$13</f>
        <v>914799.74570367753</v>
      </c>
      <c r="E40" s="116">
        <f t="shared" si="7"/>
        <v>12758654.689697439</v>
      </c>
      <c r="F40" s="116">
        <f t="shared" si="7"/>
        <v>52419588.49103713</v>
      </c>
      <c r="G40" s="116">
        <f t="shared" si="7"/>
        <v>33142186.117739458</v>
      </c>
      <c r="H40" s="116">
        <f t="shared" si="7"/>
        <v>27810950.063284859</v>
      </c>
      <c r="I40" s="116">
        <f t="shared" si="7"/>
        <v>27181388.271091133</v>
      </c>
      <c r="J40" s="116">
        <f t="shared" si="7"/>
        <v>30490567.869257268</v>
      </c>
      <c r="K40" s="116">
        <f t="shared" si="7"/>
        <v>12952193.908406083</v>
      </c>
      <c r="L40" s="117">
        <f t="shared" si="7"/>
        <v>9176491.8995797299</v>
      </c>
      <c r="M40" s="67">
        <f t="shared" si="4"/>
        <v>206846821.05579677</v>
      </c>
    </row>
    <row r="41" spans="2:13" x14ac:dyDescent="0.25">
      <c r="B41" s="120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61"/>
    </row>
    <row r="42" spans="2:13" x14ac:dyDescent="0.25">
      <c r="B42" s="101" t="s">
        <v>125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2:13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2:13" x14ac:dyDescent="0.25">
      <c r="B44" s="125"/>
      <c r="C44" s="75">
        <v>2006</v>
      </c>
      <c r="D44" s="75">
        <v>2007</v>
      </c>
      <c r="E44" s="75">
        <v>2008</v>
      </c>
      <c r="F44" s="75">
        <v>2009</v>
      </c>
      <c r="G44" s="75">
        <v>2010</v>
      </c>
      <c r="H44" s="75">
        <v>2011</v>
      </c>
      <c r="I44" s="75">
        <v>2012</v>
      </c>
      <c r="J44" s="75">
        <v>2013</v>
      </c>
      <c r="K44" s="75">
        <v>2014</v>
      </c>
      <c r="L44" s="75">
        <v>2015</v>
      </c>
    </row>
    <row r="45" spans="2:13" x14ac:dyDescent="0.25">
      <c r="B45" s="68" t="s">
        <v>20</v>
      </c>
      <c r="C45" s="114">
        <f>C36</f>
        <v>0</v>
      </c>
      <c r="D45" s="114">
        <f>C45+D36</f>
        <v>6111775.0927797705</v>
      </c>
      <c r="E45" s="114">
        <f>D45+E36</f>
        <v>29149872.619585969</v>
      </c>
      <c r="F45" s="114">
        <f t="shared" ref="F45:L45" si="8">E45+F36</f>
        <v>92194598.006998628</v>
      </c>
      <c r="G45" s="114">
        <f t="shared" si="8"/>
        <v>142124335.43190065</v>
      </c>
      <c r="H45" s="114">
        <f t="shared" si="8"/>
        <v>200882699.45361346</v>
      </c>
      <c r="I45" s="114">
        <f t="shared" si="8"/>
        <v>251313361.04385737</v>
      </c>
      <c r="J45" s="114">
        <f t="shared" si="8"/>
        <v>303781863.67575377</v>
      </c>
      <c r="K45" s="114">
        <f t="shared" si="8"/>
        <v>333132197.01864529</v>
      </c>
      <c r="L45" s="113">
        <f t="shared" si="8"/>
        <v>345016721.49532175</v>
      </c>
    </row>
    <row r="46" spans="2:13" x14ac:dyDescent="0.25">
      <c r="B46" s="68" t="s">
        <v>9</v>
      </c>
      <c r="C46" s="114">
        <f>C28*C$13</f>
        <v>0</v>
      </c>
      <c r="D46" s="114">
        <f t="shared" ref="D46:L46" si="9">C46+D37</f>
        <v>7609710.0003236393</v>
      </c>
      <c r="E46" s="114">
        <f t="shared" si="9"/>
        <v>24481553.956786163</v>
      </c>
      <c r="F46" s="114">
        <f t="shared" si="9"/>
        <v>68524111.565740943</v>
      </c>
      <c r="G46" s="114">
        <f t="shared" si="9"/>
        <v>148234629.09356713</v>
      </c>
      <c r="H46" s="114">
        <f t="shared" si="9"/>
        <v>239097588.78191334</v>
      </c>
      <c r="I46" s="114">
        <f t="shared" si="9"/>
        <v>317012212.3043707</v>
      </c>
      <c r="J46" s="114">
        <f t="shared" si="9"/>
        <v>370358488.37818116</v>
      </c>
      <c r="K46" s="114">
        <f t="shared" si="9"/>
        <v>388822332.62054896</v>
      </c>
      <c r="L46" s="113">
        <f t="shared" si="9"/>
        <v>404690060.87380689</v>
      </c>
    </row>
    <row r="47" spans="2:13" x14ac:dyDescent="0.25">
      <c r="B47" s="68" t="s">
        <v>11</v>
      </c>
      <c r="C47" s="114">
        <f>C29*C$13</f>
        <v>0</v>
      </c>
      <c r="D47" s="114">
        <f t="shared" ref="D47:L47" si="10">C47+D38</f>
        <v>4381326.3765347293</v>
      </c>
      <c r="E47" s="114">
        <f t="shared" si="10"/>
        <v>13581832.256365083</v>
      </c>
      <c r="F47" s="114">
        <f t="shared" si="10"/>
        <v>34424238.008379132</v>
      </c>
      <c r="G47" s="114">
        <f t="shared" si="10"/>
        <v>67943192.505450934</v>
      </c>
      <c r="H47" s="114">
        <f t="shared" si="10"/>
        <v>104666194.37972459</v>
      </c>
      <c r="I47" s="114">
        <f t="shared" si="10"/>
        <v>135368791.49599624</v>
      </c>
      <c r="J47" s="114">
        <f t="shared" si="10"/>
        <v>156913027.50473854</v>
      </c>
      <c r="K47" s="114">
        <f t="shared" si="10"/>
        <v>164173197.6520083</v>
      </c>
      <c r="L47" s="113">
        <f t="shared" si="10"/>
        <v>170623506.85819867</v>
      </c>
    </row>
    <row r="48" spans="2:13" x14ac:dyDescent="0.25">
      <c r="B48" s="68" t="s">
        <v>10</v>
      </c>
      <c r="C48" s="114">
        <f>C30*C$13</f>
        <v>0</v>
      </c>
      <c r="D48" s="114">
        <f t="shared" ref="D48:L48" si="11">C48+D39</f>
        <v>6209160.9625109108</v>
      </c>
      <c r="E48" s="114">
        <f t="shared" si="11"/>
        <v>20755690.986351781</v>
      </c>
      <c r="F48" s="114">
        <f t="shared" si="11"/>
        <v>68034734.35727483</v>
      </c>
      <c r="G48" s="114">
        <f t="shared" si="11"/>
        <v>153633856.74792141</v>
      </c>
      <c r="H48" s="114">
        <f t="shared" si="11"/>
        <v>247907397.41183126</v>
      </c>
      <c r="I48" s="114">
        <f t="shared" si="11"/>
        <v>347200647.27144814</v>
      </c>
      <c r="J48" s="114">
        <f t="shared" si="11"/>
        <v>434037009.53470922</v>
      </c>
      <c r="K48" s="114">
        <f t="shared" si="11"/>
        <v>456526566.7416324</v>
      </c>
      <c r="L48" s="113">
        <f t="shared" si="11"/>
        <v>476895718.39694285</v>
      </c>
    </row>
    <row r="49" spans="2:13" s="2" customFormat="1" x14ac:dyDescent="0.25">
      <c r="B49" s="69" t="s">
        <v>12</v>
      </c>
      <c r="C49" s="116">
        <f>C31*C$13</f>
        <v>0</v>
      </c>
      <c r="D49" s="117">
        <f t="shared" ref="D49:L49" si="12">C49+D40</f>
        <v>914799.74570367753</v>
      </c>
      <c r="E49" s="117">
        <f t="shared" si="12"/>
        <v>13673454.435401116</v>
      </c>
      <c r="F49" s="117">
        <f t="shared" si="12"/>
        <v>66093042.926438242</v>
      </c>
      <c r="G49" s="117">
        <f t="shared" si="12"/>
        <v>99235229.044177696</v>
      </c>
      <c r="H49" s="117">
        <f t="shared" si="12"/>
        <v>127046179.10746256</v>
      </c>
      <c r="I49" s="117">
        <f t="shared" si="12"/>
        <v>154227567.37855369</v>
      </c>
      <c r="J49" s="117">
        <f t="shared" si="12"/>
        <v>184718135.24781096</v>
      </c>
      <c r="K49" s="117">
        <f t="shared" si="12"/>
        <v>197670329.15621704</v>
      </c>
      <c r="L49" s="116">
        <f t="shared" si="12"/>
        <v>206846821.05579677</v>
      </c>
    </row>
    <row r="50" spans="2:13" s="2" customFormat="1" x14ac:dyDescent="0.25">
      <c r="B50" s="101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39"/>
    </row>
    <row r="51" spans="2:13" s="2" customFormat="1" x14ac:dyDescent="0.25">
      <c r="B51" s="101" t="s">
        <v>105</v>
      </c>
    </row>
    <row r="52" spans="2:13" s="2" customFormat="1" x14ac:dyDescent="0.25"/>
    <row r="53" spans="2:13" x14ac:dyDescent="0.25">
      <c r="B53" s="125"/>
      <c r="C53" s="75">
        <v>2006</v>
      </c>
      <c r="D53" s="75">
        <v>2007</v>
      </c>
      <c r="E53" s="75">
        <v>2008</v>
      </c>
      <c r="F53" s="75">
        <v>2009</v>
      </c>
      <c r="G53" s="75">
        <v>2010</v>
      </c>
      <c r="H53" s="75">
        <v>2011</v>
      </c>
      <c r="I53" s="75">
        <v>2012</v>
      </c>
      <c r="J53" s="75">
        <v>2013</v>
      </c>
      <c r="K53" s="75">
        <v>2014</v>
      </c>
      <c r="L53" s="75">
        <v>2015</v>
      </c>
      <c r="M53" s="84" t="s">
        <v>103</v>
      </c>
    </row>
    <row r="54" spans="2:13" x14ac:dyDescent="0.25">
      <c r="B54" s="68" t="s">
        <v>20</v>
      </c>
      <c r="C54" s="114">
        <f>C27*C$13</f>
        <v>0</v>
      </c>
      <c r="D54" s="114">
        <f t="shared" ref="D54:L54" si="13">D27*D$13</f>
        <v>0</v>
      </c>
      <c r="E54" s="114">
        <f t="shared" si="13"/>
        <v>0</v>
      </c>
      <c r="F54" s="114">
        <f>F27*F$13</f>
        <v>13483196.181545198</v>
      </c>
      <c r="G54" s="114">
        <f t="shared" si="13"/>
        <v>30601432.729009591</v>
      </c>
      <c r="H54" s="114">
        <f t="shared" si="13"/>
        <v>37155904.908479877</v>
      </c>
      <c r="I54" s="114">
        <f t="shared" si="13"/>
        <v>38859672.15173047</v>
      </c>
      <c r="J54" s="114">
        <f t="shared" si="13"/>
        <v>42723360.287002206</v>
      </c>
      <c r="K54" s="114">
        <f t="shared" si="13"/>
        <v>44913950.157667235</v>
      </c>
      <c r="L54" s="146">
        <f t="shared" si="13"/>
        <v>51372079.785784639</v>
      </c>
      <c r="M54" s="77">
        <f>SUM(C54:L54)</f>
        <v>259109596.20121923</v>
      </c>
    </row>
    <row r="55" spans="2:13" x14ac:dyDescent="0.25">
      <c r="B55" s="68" t="s">
        <v>9</v>
      </c>
      <c r="C55" s="114">
        <f>C28*C$13</f>
        <v>0</v>
      </c>
      <c r="D55" s="114">
        <f t="shared" ref="D55:L55" si="14">D28*D$13</f>
        <v>0</v>
      </c>
      <c r="E55" s="114">
        <f t="shared" si="14"/>
        <v>0</v>
      </c>
      <c r="F55" s="114">
        <f>F28*F$13</f>
        <v>23837769.261879355</v>
      </c>
      <c r="G55" s="114">
        <f t="shared" si="14"/>
        <v>47299737.06063395</v>
      </c>
      <c r="H55" s="114">
        <f t="shared" si="14"/>
        <v>43665087.710609667</v>
      </c>
      <c r="I55" s="114">
        <f t="shared" si="14"/>
        <v>43496247.002527945</v>
      </c>
      <c r="J55" s="114">
        <f t="shared" si="14"/>
        <v>50248153.471375927</v>
      </c>
      <c r="K55" s="114">
        <f t="shared" si="14"/>
        <v>43752659.946504422</v>
      </c>
      <c r="L55" s="114">
        <f t="shared" si="14"/>
        <v>41019833.937976696</v>
      </c>
      <c r="M55" s="66">
        <f t="shared" ref="M55:M58" si="15">SUM(C55:L55)</f>
        <v>293319488.39150798</v>
      </c>
    </row>
    <row r="56" spans="2:13" x14ac:dyDescent="0.25">
      <c r="B56" s="68" t="s">
        <v>11</v>
      </c>
      <c r="C56" s="114">
        <f>C29*C$13</f>
        <v>0</v>
      </c>
      <c r="D56" s="114">
        <f t="shared" ref="D56:L56" si="16">D29*D$13</f>
        <v>0</v>
      </c>
      <c r="E56" s="114">
        <f t="shared" si="16"/>
        <v>0</v>
      </c>
      <c r="F56" s="114">
        <f t="shared" si="16"/>
        <v>8884393.9136638828</v>
      </c>
      <c r="G56" s="114">
        <f t="shared" si="16"/>
        <v>21979618.06268549</v>
      </c>
      <c r="H56" s="114">
        <f t="shared" si="16"/>
        <v>17875497.450156745</v>
      </c>
      <c r="I56" s="114">
        <f t="shared" si="16"/>
        <v>17785891.399364967</v>
      </c>
      <c r="J56" s="114">
        <f t="shared" si="16"/>
        <v>21303731.340392463</v>
      </c>
      <c r="K56" s="114">
        <f t="shared" si="16"/>
        <v>18698060.270150978</v>
      </c>
      <c r="L56" s="114">
        <f t="shared" si="16"/>
        <v>17514075.423160709</v>
      </c>
      <c r="M56" s="66">
        <f t="shared" si="15"/>
        <v>124041267.85957524</v>
      </c>
    </row>
    <row r="57" spans="2:13" x14ac:dyDescent="0.25">
      <c r="B57" s="68" t="s">
        <v>10</v>
      </c>
      <c r="C57" s="114">
        <f>C30*C$13</f>
        <v>0</v>
      </c>
      <c r="D57" s="114">
        <f t="shared" ref="D57:L57" si="17">D30*D$13</f>
        <v>0</v>
      </c>
      <c r="E57" s="114">
        <f t="shared" si="17"/>
        <v>0</v>
      </c>
      <c r="F57" s="114">
        <f t="shared" si="17"/>
        <v>27282105.398132775</v>
      </c>
      <c r="G57" s="114">
        <f t="shared" si="17"/>
        <v>25233954.010905955</v>
      </c>
      <c r="H57" s="114">
        <f t="shared" si="17"/>
        <v>22992969.968011245</v>
      </c>
      <c r="I57" s="114">
        <f t="shared" si="17"/>
        <v>20802807.645145752</v>
      </c>
      <c r="J57" s="114">
        <f t="shared" si="17"/>
        <v>49759213.208496496</v>
      </c>
      <c r="K57" s="114">
        <f t="shared" si="17"/>
        <v>56277618.975586429</v>
      </c>
      <c r="L57" s="114">
        <f t="shared" si="17"/>
        <v>63614253.262144238</v>
      </c>
      <c r="M57" s="66">
        <f t="shared" si="15"/>
        <v>265962922.46842286</v>
      </c>
    </row>
    <row r="58" spans="2:13" x14ac:dyDescent="0.25">
      <c r="B58" s="69" t="s">
        <v>12</v>
      </c>
      <c r="C58" s="116">
        <f>C31*C$13</f>
        <v>0</v>
      </c>
      <c r="D58" s="116">
        <f t="shared" ref="D58:L58" si="18">D31*D$13</f>
        <v>0</v>
      </c>
      <c r="E58" s="116">
        <f t="shared" si="18"/>
        <v>0</v>
      </c>
      <c r="F58" s="116">
        <f t="shared" si="18"/>
        <v>7837155.1261108546</v>
      </c>
      <c r="G58" s="116">
        <f t="shared" si="18"/>
        <v>7248795.8367814356</v>
      </c>
      <c r="H58" s="116">
        <f t="shared" si="18"/>
        <v>6605042.7494369755</v>
      </c>
      <c r="I58" s="116">
        <f t="shared" si="18"/>
        <v>5975888.8910681522</v>
      </c>
      <c r="J58" s="116">
        <f t="shared" si="18"/>
        <v>28347061.346519522</v>
      </c>
      <c r="K58" s="116">
        <f t="shared" si="18"/>
        <v>29864227.333066151</v>
      </c>
      <c r="L58" s="117">
        <f t="shared" si="18"/>
        <v>30902026.48944097</v>
      </c>
      <c r="M58" s="67">
        <f t="shared" si="15"/>
        <v>116780197.77242407</v>
      </c>
    </row>
    <row r="59" spans="2:13" x14ac:dyDescent="0.25">
      <c r="B59" s="120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61"/>
    </row>
    <row r="60" spans="2:13" x14ac:dyDescent="0.25">
      <c r="B60" s="101" t="s">
        <v>126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2:13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2:13" x14ac:dyDescent="0.25">
      <c r="B62" s="125"/>
      <c r="C62" s="75">
        <v>2006</v>
      </c>
      <c r="D62" s="75">
        <v>2007</v>
      </c>
      <c r="E62" s="75">
        <v>2008</v>
      </c>
      <c r="F62" s="75">
        <v>2009</v>
      </c>
      <c r="G62" s="75">
        <v>2010</v>
      </c>
      <c r="H62" s="75">
        <v>2011</v>
      </c>
      <c r="I62" s="75">
        <v>2012</v>
      </c>
      <c r="J62" s="75">
        <v>2013</v>
      </c>
      <c r="K62" s="75">
        <v>2014</v>
      </c>
      <c r="L62" s="75">
        <v>2015</v>
      </c>
    </row>
    <row r="63" spans="2:13" x14ac:dyDescent="0.25">
      <c r="B63" s="68" t="s">
        <v>20</v>
      </c>
      <c r="C63" s="114">
        <f>C54</f>
        <v>0</v>
      </c>
      <c r="D63" s="114">
        <f>C63+D54</f>
        <v>0</v>
      </c>
      <c r="E63" s="114">
        <f t="shared" ref="E63:L63" si="19">D63+E54</f>
        <v>0</v>
      </c>
      <c r="F63" s="114">
        <f t="shared" si="19"/>
        <v>13483196.181545198</v>
      </c>
      <c r="G63" s="114">
        <f t="shared" si="19"/>
        <v>44084628.910554789</v>
      </c>
      <c r="H63" s="114">
        <f t="shared" si="19"/>
        <v>81240533.819034666</v>
      </c>
      <c r="I63" s="114">
        <f t="shared" si="19"/>
        <v>120100205.97076514</v>
      </c>
      <c r="J63" s="114">
        <f t="shared" si="19"/>
        <v>162823566.25776735</v>
      </c>
      <c r="K63" s="114">
        <f t="shared" si="19"/>
        <v>207737516.4154346</v>
      </c>
      <c r="L63" s="126">
        <f t="shared" si="19"/>
        <v>259109596.20121923</v>
      </c>
    </row>
    <row r="64" spans="2:13" x14ac:dyDescent="0.25">
      <c r="B64" s="68" t="s">
        <v>9</v>
      </c>
      <c r="C64" s="114">
        <f t="shared" ref="C64:C67" si="20">C55</f>
        <v>0</v>
      </c>
      <c r="D64" s="114">
        <f t="shared" ref="D64:L64" si="21">C64+D55</f>
        <v>0</v>
      </c>
      <c r="E64" s="114">
        <f t="shared" si="21"/>
        <v>0</v>
      </c>
      <c r="F64" s="114">
        <f t="shared" si="21"/>
        <v>23837769.261879355</v>
      </c>
      <c r="G64" s="114">
        <f t="shared" si="21"/>
        <v>71137506.322513312</v>
      </c>
      <c r="H64" s="114">
        <f t="shared" si="21"/>
        <v>114802594.03312299</v>
      </c>
      <c r="I64" s="114">
        <f t="shared" si="21"/>
        <v>158298841.03565094</v>
      </c>
      <c r="J64" s="114">
        <f t="shared" si="21"/>
        <v>208546994.50702685</v>
      </c>
      <c r="K64" s="114">
        <f t="shared" si="21"/>
        <v>252299654.45353127</v>
      </c>
      <c r="L64" s="113">
        <f t="shared" si="21"/>
        <v>293319488.39150798</v>
      </c>
    </row>
    <row r="65" spans="2:13" x14ac:dyDescent="0.25">
      <c r="B65" s="68" t="s">
        <v>11</v>
      </c>
      <c r="C65" s="114">
        <f t="shared" si="20"/>
        <v>0</v>
      </c>
      <c r="D65" s="114">
        <f t="shared" ref="D65:L65" si="22">C65+D56</f>
        <v>0</v>
      </c>
      <c r="E65" s="114">
        <f t="shared" si="22"/>
        <v>0</v>
      </c>
      <c r="F65" s="114">
        <f t="shared" si="22"/>
        <v>8884393.9136638828</v>
      </c>
      <c r="G65" s="114">
        <f t="shared" si="22"/>
        <v>30864011.976349372</v>
      </c>
      <c r="H65" s="114">
        <f t="shared" si="22"/>
        <v>48739509.426506117</v>
      </c>
      <c r="I65" s="114">
        <f t="shared" si="22"/>
        <v>66525400.82587108</v>
      </c>
      <c r="J65" s="114">
        <f t="shared" si="22"/>
        <v>87829132.166263551</v>
      </c>
      <c r="K65" s="114">
        <f t="shared" si="22"/>
        <v>106527192.43641452</v>
      </c>
      <c r="L65" s="113">
        <f t="shared" si="22"/>
        <v>124041267.85957524</v>
      </c>
    </row>
    <row r="66" spans="2:13" x14ac:dyDescent="0.25">
      <c r="B66" s="68" t="s">
        <v>10</v>
      </c>
      <c r="C66" s="114">
        <f t="shared" si="20"/>
        <v>0</v>
      </c>
      <c r="D66" s="114">
        <f t="shared" ref="D66:L66" si="23">C66+D57</f>
        <v>0</v>
      </c>
      <c r="E66" s="114">
        <f t="shared" si="23"/>
        <v>0</v>
      </c>
      <c r="F66" s="114">
        <f t="shared" si="23"/>
        <v>27282105.398132775</v>
      </c>
      <c r="G66" s="114">
        <f t="shared" si="23"/>
        <v>52516059.40903873</v>
      </c>
      <c r="H66" s="114">
        <f t="shared" si="23"/>
        <v>75509029.377049983</v>
      </c>
      <c r="I66" s="114">
        <f t="shared" si="23"/>
        <v>96311837.022195727</v>
      </c>
      <c r="J66" s="114">
        <f t="shared" si="23"/>
        <v>146071050.23069221</v>
      </c>
      <c r="K66" s="114">
        <f t="shared" si="23"/>
        <v>202348669.20627862</v>
      </c>
      <c r="L66" s="113">
        <f t="shared" si="23"/>
        <v>265962922.46842286</v>
      </c>
    </row>
    <row r="67" spans="2:13" x14ac:dyDescent="0.25">
      <c r="B67" s="69" t="s">
        <v>12</v>
      </c>
      <c r="C67" s="117">
        <f t="shared" si="20"/>
        <v>0</v>
      </c>
      <c r="D67" s="117">
        <f t="shared" ref="D67:L67" si="24">C67+D58</f>
        <v>0</v>
      </c>
      <c r="E67" s="117">
        <f t="shared" si="24"/>
        <v>0</v>
      </c>
      <c r="F67" s="117">
        <f t="shared" si="24"/>
        <v>7837155.1261108546</v>
      </c>
      <c r="G67" s="117">
        <f t="shared" si="24"/>
        <v>15085950.96289229</v>
      </c>
      <c r="H67" s="117">
        <f t="shared" si="24"/>
        <v>21690993.712329265</v>
      </c>
      <c r="I67" s="117">
        <f t="shared" si="24"/>
        <v>27666882.603397418</v>
      </c>
      <c r="J67" s="117">
        <f t="shared" si="24"/>
        <v>56013943.949916944</v>
      </c>
      <c r="K67" s="117">
        <f t="shared" si="24"/>
        <v>85878171.282983094</v>
      </c>
      <c r="L67" s="116">
        <f t="shared" si="24"/>
        <v>116780197.77242407</v>
      </c>
    </row>
    <row r="68" spans="2:13" s="2" customFormat="1" x14ac:dyDescent="0.25"/>
    <row r="69" spans="2:13" s="2" customFormat="1" x14ac:dyDescent="0.25">
      <c r="B69" s="101" t="s">
        <v>106</v>
      </c>
    </row>
    <row r="70" spans="2:13" s="2" customFormat="1" x14ac:dyDescent="0.25"/>
    <row r="71" spans="2:13" x14ac:dyDescent="0.25">
      <c r="B71" s="125"/>
      <c r="C71" s="75">
        <v>2006</v>
      </c>
      <c r="D71" s="75">
        <v>2007</v>
      </c>
      <c r="E71" s="75">
        <v>2008</v>
      </c>
      <c r="F71" s="75">
        <v>2009</v>
      </c>
      <c r="G71" s="75">
        <v>2010</v>
      </c>
      <c r="H71" s="75">
        <v>2011</v>
      </c>
      <c r="I71" s="75">
        <v>2012</v>
      </c>
      <c r="J71" s="75">
        <v>2013</v>
      </c>
      <c r="K71" s="75">
        <v>2014</v>
      </c>
      <c r="L71" s="75">
        <v>2015</v>
      </c>
      <c r="M71" s="75" t="s">
        <v>103</v>
      </c>
    </row>
    <row r="72" spans="2:13" x14ac:dyDescent="0.25">
      <c r="B72" s="68" t="s">
        <v>20</v>
      </c>
      <c r="C72" s="114">
        <f>C36-C54</f>
        <v>0</v>
      </c>
      <c r="D72" s="114">
        <f t="shared" ref="D72:M72" si="25">D36-D54</f>
        <v>6111775.0927797705</v>
      </c>
      <c r="E72" s="114">
        <f t="shared" si="25"/>
        <v>23038097.526806198</v>
      </c>
      <c r="F72" s="114">
        <f t="shared" si="25"/>
        <v>49561529.205867462</v>
      </c>
      <c r="G72" s="114">
        <f t="shared" si="25"/>
        <v>19328304.695892431</v>
      </c>
      <c r="H72" s="114">
        <f t="shared" si="25"/>
        <v>21602459.11323294</v>
      </c>
      <c r="I72" s="114">
        <f t="shared" si="25"/>
        <v>11570989.438513428</v>
      </c>
      <c r="J72" s="114">
        <f t="shared" si="25"/>
        <v>9745142.344894208</v>
      </c>
      <c r="K72" s="114">
        <f t="shared" si="25"/>
        <v>-15563616.814775728</v>
      </c>
      <c r="L72" s="114">
        <f t="shared" si="25"/>
        <v>-39487555.30910819</v>
      </c>
      <c r="M72" s="126">
        <f t="shared" si="25"/>
        <v>85907125.29410252</v>
      </c>
    </row>
    <row r="73" spans="2:13" x14ac:dyDescent="0.25">
      <c r="B73" s="68" t="s">
        <v>9</v>
      </c>
      <c r="C73" s="114">
        <f>C37-C55</f>
        <v>1781878.2280454</v>
      </c>
      <c r="D73" s="114">
        <f t="shared" ref="D73:M73" si="26">D37-D55</f>
        <v>7609710.0003236393</v>
      </c>
      <c r="E73" s="114">
        <f t="shared" si="26"/>
        <v>16871843.956462525</v>
      </c>
      <c r="F73" s="114">
        <f t="shared" si="26"/>
        <v>20204788.347075433</v>
      </c>
      <c r="G73" s="114">
        <f t="shared" si="26"/>
        <v>32410780.467192255</v>
      </c>
      <c r="H73" s="114">
        <f t="shared" si="26"/>
        <v>47197871.977736555</v>
      </c>
      <c r="I73" s="114">
        <f t="shared" si="26"/>
        <v>34418376.519929431</v>
      </c>
      <c r="J73" s="114">
        <f t="shared" si="26"/>
        <v>3098122.6024345234</v>
      </c>
      <c r="K73" s="114">
        <f t="shared" si="26"/>
        <v>-25288815.70413664</v>
      </c>
      <c r="L73" s="114">
        <f t="shared" si="26"/>
        <v>-25152105.684718791</v>
      </c>
      <c r="M73" s="113">
        <f t="shared" si="26"/>
        <v>113152450.71034431</v>
      </c>
    </row>
    <row r="74" spans="2:13" x14ac:dyDescent="0.25">
      <c r="B74" s="68" t="s">
        <v>11</v>
      </c>
      <c r="C74" s="114">
        <f>C38-C56</f>
        <v>787661.98201939662</v>
      </c>
      <c r="D74" s="114">
        <f t="shared" ref="D74:M74" si="27">D38-D56</f>
        <v>4381326.3765347293</v>
      </c>
      <c r="E74" s="114">
        <f t="shared" si="27"/>
        <v>9200505.8798303548</v>
      </c>
      <c r="F74" s="114">
        <f t="shared" si="27"/>
        <v>11958011.838350162</v>
      </c>
      <c r="G74" s="114">
        <f t="shared" si="27"/>
        <v>11539336.434386309</v>
      </c>
      <c r="H74" s="114">
        <f t="shared" si="27"/>
        <v>18847504.424116913</v>
      </c>
      <c r="I74" s="114">
        <f t="shared" si="27"/>
        <v>12916705.716906678</v>
      </c>
      <c r="J74" s="114">
        <f t="shared" si="27"/>
        <v>240504.66834983975</v>
      </c>
      <c r="K74" s="114">
        <f t="shared" si="27"/>
        <v>-11437890.12288123</v>
      </c>
      <c r="L74" s="114">
        <f t="shared" si="27"/>
        <v>-11063766.21697033</v>
      </c>
      <c r="M74" s="113">
        <f t="shared" si="27"/>
        <v>47369900.980642825</v>
      </c>
    </row>
    <row r="75" spans="2:13" x14ac:dyDescent="0.25">
      <c r="B75" s="68" t="s">
        <v>10</v>
      </c>
      <c r="C75" s="114">
        <f>C39-C57</f>
        <v>983865.43327069946</v>
      </c>
      <c r="D75" s="114">
        <f t="shared" ref="D75:M75" si="28">D39-D57</f>
        <v>6209160.9625109108</v>
      </c>
      <c r="E75" s="114">
        <f t="shared" si="28"/>
        <v>14546530.023840871</v>
      </c>
      <c r="F75" s="114">
        <f t="shared" si="28"/>
        <v>19996937.972790267</v>
      </c>
      <c r="G75" s="114">
        <f t="shared" si="28"/>
        <v>60365168.379740626</v>
      </c>
      <c r="H75" s="114">
        <f t="shared" si="28"/>
        <v>71280570.695898592</v>
      </c>
      <c r="I75" s="114">
        <f t="shared" si="28"/>
        <v>78490442.214471102</v>
      </c>
      <c r="J75" s="114">
        <f t="shared" si="28"/>
        <v>37077149.054764614</v>
      </c>
      <c r="K75" s="114">
        <f t="shared" si="28"/>
        <v>-33788061.768663213</v>
      </c>
      <c r="L75" s="114">
        <f t="shared" si="28"/>
        <v>-43245101.606833816</v>
      </c>
      <c r="M75" s="113">
        <f t="shared" si="28"/>
        <v>211916661.36179069</v>
      </c>
    </row>
    <row r="76" spans="2:13" x14ac:dyDescent="0.25">
      <c r="B76" s="69" t="s">
        <v>12</v>
      </c>
      <c r="C76" s="117">
        <f>C40-C58</f>
        <v>0</v>
      </c>
      <c r="D76" s="117">
        <f t="shared" ref="D76:M76" si="29">D40-D58</f>
        <v>914799.74570367753</v>
      </c>
      <c r="E76" s="117">
        <f t="shared" si="29"/>
        <v>12758654.689697439</v>
      </c>
      <c r="F76" s="117">
        <f t="shared" si="29"/>
        <v>44582433.364926279</v>
      </c>
      <c r="G76" s="117">
        <f t="shared" si="29"/>
        <v>25893390.280958023</v>
      </c>
      <c r="H76" s="117">
        <f t="shared" si="29"/>
        <v>21205907.313847885</v>
      </c>
      <c r="I76" s="117">
        <f t="shared" si="29"/>
        <v>21205499.38002298</v>
      </c>
      <c r="J76" s="117">
        <f t="shared" si="29"/>
        <v>2143506.5227377452</v>
      </c>
      <c r="K76" s="117">
        <f t="shared" si="29"/>
        <v>-16912033.424660068</v>
      </c>
      <c r="L76" s="117">
        <f t="shared" si="29"/>
        <v>-21725534.58986124</v>
      </c>
      <c r="M76" s="116">
        <f t="shared" si="29"/>
        <v>90066623.2833727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L10"/>
  <sheetViews>
    <sheetView zoomScale="85" zoomScaleNormal="85" workbookViewId="0">
      <selection activeCell="H14" sqref="H14"/>
    </sheetView>
  </sheetViews>
  <sheetFormatPr defaultRowHeight="15" x14ac:dyDescent="0.25"/>
  <cols>
    <col min="2" max="2" width="15.7109375" bestFit="1" customWidth="1"/>
    <col min="3" max="12" width="17.7109375" customWidth="1"/>
  </cols>
  <sheetData>
    <row r="2" spans="2:12" x14ac:dyDescent="0.25">
      <c r="B2" s="119" t="s">
        <v>87</v>
      </c>
    </row>
    <row r="3" spans="2:12" x14ac:dyDescent="0.25">
      <c r="B3" s="119"/>
    </row>
    <row r="4" spans="2:12" ht="45.75" customHeight="1" x14ac:dyDescent="0.25">
      <c r="B4" s="125"/>
      <c r="C4" s="190" t="s">
        <v>91</v>
      </c>
      <c r="D4" s="192"/>
      <c r="E4" s="191"/>
      <c r="F4" s="190" t="s">
        <v>88</v>
      </c>
      <c r="G4" s="192"/>
      <c r="H4" s="192"/>
      <c r="I4" s="191"/>
      <c r="J4" s="127" t="s">
        <v>89</v>
      </c>
      <c r="K4" s="203" t="s">
        <v>90</v>
      </c>
      <c r="L4" s="204"/>
    </row>
    <row r="5" spans="2:12" x14ac:dyDescent="0.25">
      <c r="B5" s="125"/>
      <c r="C5" s="75">
        <v>2006</v>
      </c>
      <c r="D5" s="75">
        <v>2007</v>
      </c>
      <c r="E5" s="75">
        <v>2008</v>
      </c>
      <c r="F5" s="75">
        <v>2009</v>
      </c>
      <c r="G5" s="75">
        <v>2010</v>
      </c>
      <c r="H5" s="75">
        <v>2011</v>
      </c>
      <c r="I5" s="75">
        <v>2012</v>
      </c>
      <c r="J5" s="75">
        <v>2013</v>
      </c>
      <c r="K5" s="75">
        <v>2014</v>
      </c>
      <c r="L5" s="75">
        <v>2015</v>
      </c>
    </row>
    <row r="6" spans="2:12" x14ac:dyDescent="0.25">
      <c r="B6" s="68" t="s">
        <v>20</v>
      </c>
      <c r="C6" s="128"/>
      <c r="D6" s="129"/>
      <c r="E6" s="128"/>
      <c r="F6" s="114">
        <f>'[7]Data 2009-15 (Real $2008)'!D$60</f>
        <v>18744172.440000001</v>
      </c>
      <c r="G6" s="114">
        <f>'[7]Data 2009-15 (Real $2008)'!E$60</f>
        <v>45994696</v>
      </c>
      <c r="H6" s="114">
        <f>'[7]Data 2009-15 (Real $2008)'!F$60</f>
        <v>61289216.629999898</v>
      </c>
      <c r="I6" s="126">
        <f>'[7]Data 2009-15 (Real $2008)'!G$60</f>
        <v>70848144.179999992</v>
      </c>
      <c r="J6" s="115">
        <f>('[7]Data 2009-15 (Real $2008)'!$H$92*'[7]Data 2009-15 (Real $2008)'!$O$92)+('[7]Data 2009-15 (Real $2008)'!$I$93*'[7]Data 2009-15 (Real $2008)'!$O$93)+('[7]Data 2009-15 (Real $2008)'!$H$95*'[7]Data 2009-15 (Real $2008)'!$O$95)+'[7]Data 2009-15 (Real $2008)'!$H$97*'[7]Data 2009-15 (Real $2008)'!$O$97</f>
        <v>84832297.569063827</v>
      </c>
      <c r="K6" s="115">
        <f>('[7]DNSP Data Inputs 2012-15'!$I$92*'[7]DNSP Data Inputs 2012-15'!$P$92)+('[7]DNSP Data Inputs 2012-15'!$I$93*'[7]DNSP Data Inputs 2012-15'!$P$93)+('[7]DNSP Data Inputs 2012-15'!$I$95*'[7]DNSP Data Inputs 2012-15'!$P$95)+('[7]DNSP Data Inputs 2012-15'!$I$97*'[7]DNSP Data Inputs 2012-15'!$P$97)</f>
        <v>96520592.216561705</v>
      </c>
      <c r="L6" s="115">
        <f>('[7]DNSP Data Inputs 2012-15'!$J$92*'[7]DNSP Data Inputs 2012-15'!$Q$92)+('[7]DNSP Data Inputs 2012-15'!$J$93*'[7]DNSP Data Inputs 2012-15'!$Q$93)+('[7]DNSP Data Inputs 2012-15'!$J$95*'[7]DNSP Data Inputs 2012-15'!$Q$95)+('[7]DNSP Data Inputs 2012-15'!$J$97*'[7]DNSP Data Inputs 2012-15'!$Q$97)</f>
        <v>119483730.32092296</v>
      </c>
    </row>
    <row r="7" spans="2:12" x14ac:dyDescent="0.25">
      <c r="B7" s="68" t="s">
        <v>9</v>
      </c>
      <c r="C7" s="128"/>
      <c r="D7" s="129"/>
      <c r="E7" s="128"/>
      <c r="F7" s="114">
        <f>'[8]Data 2009-15 (Real $2008)'!D$60</f>
        <v>33138971.770000003</v>
      </c>
      <c r="G7" s="114">
        <f>'[8]Data 2009-15 (Real $2008)'!E$60</f>
        <v>71092652.63000001</v>
      </c>
      <c r="H7" s="114">
        <f>'[8]Data 2009-15 (Real $2008)'!F$60</f>
        <v>72026210.274123311</v>
      </c>
      <c r="I7" s="113">
        <f>'[8]Data 2009-15 (Real $2008)'!G$60</f>
        <v>79301450.791750014</v>
      </c>
      <c r="J7" s="115">
        <f>('[8]DNSP Data Inputs 2012-15'!$H$112*'[8]DNSP Data Inputs 2012-15'!$O$112)+('[8]DNSP Data Inputs 2012-15'!$H$113*'[8]DNSP Data Inputs 2012-15'!$O$113)+('[8]DNSP Data Inputs 2012-15'!$H$114*'[8]DNSP Data Inputs 2012-15'!$O$114)</f>
        <v>99773666.653196007</v>
      </c>
      <c r="K7" s="115">
        <f>('[8]DNSP Data Inputs 2012-15'!$I$112*'[8]DNSP Data Inputs 2012-15'!$P$112)+('[8]DNSP Data Inputs 2012-15'!$I$113*'[8]DNSP Data Inputs 2012-15'!$P$113)+('[8]DNSP Data Inputs 2012-15'!$I$114*'[8]DNSP Data Inputs 2012-15'!$P$114)</f>
        <v>94024966.280226722</v>
      </c>
      <c r="L7" s="115">
        <f>('[8]DNSP Data Inputs 2012-15'!$J$112*'[8]DNSP Data Inputs 2012-15'!$Q$112)+('[8]DNSP Data Inputs 2012-15'!$J$113*'[8]DNSP Data Inputs 2012-15'!$Q$113)+('[8]DNSP Data Inputs 2012-15'!$J$114*'[8]DNSP Data Inputs 2012-15'!$Q$114)</f>
        <v>95405963.638063192</v>
      </c>
    </row>
    <row r="8" spans="2:12" x14ac:dyDescent="0.25">
      <c r="B8" s="68" t="s">
        <v>11</v>
      </c>
      <c r="C8" s="128"/>
      <c r="D8" s="129"/>
      <c r="E8" s="128"/>
      <c r="F8" s="114">
        <f>'[9]Data 2009-15 (Real $2008)'!D$60</f>
        <v>12350974.449999999</v>
      </c>
      <c r="G8" s="114">
        <f>'[9]Data 2009-15 (Real $2008)'!E$60</f>
        <v>33035899.330000002</v>
      </c>
      <c r="H8" s="114">
        <f>'[9]Data 2009-15 (Real $2008)'!F$60</f>
        <v>29485898.359634101</v>
      </c>
      <c r="I8" s="113">
        <f>'[9]Data 2009-15 (Real $2008)'!G$60</f>
        <v>32426866.42625</v>
      </c>
      <c r="J8" s="115">
        <f>('[9]DNSP Data Inputs 2012-15'!$H$112*'[9]DNSP Data Inputs 2012-15'!$O$112)+('[9]DNSP Data Inputs 2012-15'!$H$113*'[9]DNSP Data Inputs 2012-15'!$O$113)+('[9]DNSP Data Inputs 2012-15'!$H$114*'[9]DNSP Data Inputs 2012-15'!$O$114)</f>
        <v>42301084.564956032</v>
      </c>
      <c r="K8" s="115">
        <f>('[9]DNSP Data Inputs 2012-15'!$I$112*'[9]DNSP Data Inputs 2012-15'!$P$112)+('[9]DNSP Data Inputs 2012-15'!$I$113*'[9]DNSP Data Inputs 2012-15'!$P$113)+('[9]DNSP Data Inputs 2012-15'!$I$114*'[9]DNSP Data Inputs 2012-15'!$P$114)</f>
        <v>40182345.223265752</v>
      </c>
      <c r="L8" s="115">
        <f>('[9]DNSP Data Inputs 2012-15'!$J$112*'[9]DNSP Data Inputs 2012-15'!$Q$112)+('[9]DNSP Data Inputs 2012-15'!$J$113*'[9]DNSP Data Inputs 2012-15'!$Q$113)+('[9]DNSP Data Inputs 2012-15'!$J$114*'[9]DNSP Data Inputs 2012-15'!$Q$114)</f>
        <v>40735105.010490604</v>
      </c>
    </row>
    <row r="9" spans="2:12" x14ac:dyDescent="0.25">
      <c r="B9" s="68" t="s">
        <v>10</v>
      </c>
      <c r="C9" s="128"/>
      <c r="D9" s="129"/>
      <c r="E9" s="128"/>
      <c r="F9" s="114">
        <f>'[11]Data 2009-15 (Real $2008)'!$D$60</f>
        <v>37927245.233500004</v>
      </c>
      <c r="G9" s="114">
        <f>'[11]Data 2009-15 (Real $2008)'!$D$60</f>
        <v>37927245.233500004</v>
      </c>
      <c r="H9" s="114">
        <f>'[11]Data 2009-15 (Real $2008)'!$D$60</f>
        <v>37927245.233500004</v>
      </c>
      <c r="I9" s="113">
        <f>'[11]Data 2009-15 (Real $2008)'!$D$60</f>
        <v>37927245.233500004</v>
      </c>
      <c r="J9" s="115">
        <f>('[11]DNSP Data Inputs 2012-15'!$H$98*'[11]DNSP Data Inputs 2012-15'!$O$98)+('[11]DNSP Data Inputs 2012-15'!$H$99*'[11]DNSP Data Inputs 2012-15'!$O$99)+('[11]DNSP Data Inputs 2012-15'!$H$100*'[11]DNSP Data Inputs 2012-15'!$O$100)+('[11]DNSP Data Inputs 2012-15'!$H$101*'[11]DNSP Data Inputs 2012-15'!$O$101)+('[11]DNSP Data Inputs 2012-15'!$H$102*'[11]DNSP Data Inputs 2012-15'!$O$102)</f>
        <v>98802817.787482992</v>
      </c>
      <c r="K9" s="115">
        <f>('[11]DNSP Data Inputs 2012-15'!$I$98*'[11]DNSP Data Inputs 2012-15'!$P$98)+('[11]DNSP Data Inputs 2012-15'!$I$99*'[11]DNSP Data Inputs 2012-15'!$P$99)+('[11]DNSP Data Inputs 2012-15'!$I$100*'[11]DNSP Data Inputs 2012-15'!$P$100)+('[11]DNSP Data Inputs 2012-15'!$I$101*'[11]DNSP Data Inputs 2012-15'!$P$101)+('[11]DNSP Data Inputs 2012-15'!$I$102*'[11]DNSP Data Inputs 2012-15'!$P$102)</f>
        <v>120941246.38320924</v>
      </c>
      <c r="L9" s="115">
        <f>('[11]DNSP Data Inputs 2012-15'!$J$98*'[11]DNSP Data Inputs 2012-15'!$Q$98)+('[11]DNSP Data Inputs 2012-15'!$J$99*'[11]DNSP Data Inputs 2012-15'!$Q$99)+('[11]DNSP Data Inputs 2012-15'!$J$100*'[11]DNSP Data Inputs 2012-15'!$Q$100)+('[11]DNSP Data Inputs 2012-15'!$J$101*'[11]DNSP Data Inputs 2012-15'!$Q$101)+('[11]DNSP Data Inputs 2012-15'!$J$102*'[11]DNSP Data Inputs 2012-15'!$Q$102)</f>
        <v>147957184.38956797</v>
      </c>
    </row>
    <row r="10" spans="2:12" x14ac:dyDescent="0.25">
      <c r="B10" s="69" t="s">
        <v>12</v>
      </c>
      <c r="C10" s="130"/>
      <c r="D10" s="130"/>
      <c r="E10" s="131"/>
      <c r="F10" s="117">
        <f>'[10]Data 2009-15 (Real $2008)'!$D$60</f>
        <v>10895116.050000001</v>
      </c>
      <c r="G10" s="117">
        <f>'[10]Data 2009-15 (Real $2008)'!$D$60</f>
        <v>10895116.050000001</v>
      </c>
      <c r="H10" s="117">
        <f>'[10]Data 2009-15 (Real $2008)'!$D$60</f>
        <v>10895116.050000001</v>
      </c>
      <c r="I10" s="116">
        <f>'[10]Data 2009-15 (Real $2008)'!$D$60</f>
        <v>10895116.050000001</v>
      </c>
      <c r="J10" s="118">
        <f>('[10]DNSP Data Inputs 2012-15'!$H$92*'[10]DNSP Data Inputs 2012-15'!$O$92)+('[10]DNSP Data Inputs 2012-15'!$H$93*'[10]DNSP Data Inputs 2012-15'!$O$93)+('[10]DNSP Data Inputs 2012-15'!$H$95*'[10]DNSP Data Inputs 2012-15'!$O$95)+('[10]DNSP Data Inputs 2012-15'!$H$97*'[10]DNSP Data Inputs 2012-15'!$O$97)</f>
        <v>56286451.421473302</v>
      </c>
      <c r="K10" s="118">
        <f>('[10]DNSP Data Inputs 2012-15'!$I$92*'[10]DNSP Data Inputs 2012-15'!$P$92)+('[10]DNSP Data Inputs 2012-15'!$I$93*'[10]DNSP Data Inputs 2012-15'!$P$93)+('[10]DNSP Data Inputs 2012-15'!$I$95*'[10]DNSP Data Inputs 2012-15'!$P$95)+('[10]DNSP Data Inputs 2012-15'!$I$97*'[10]DNSP Data Inputs 2012-15'!$P$97)</f>
        <v>64178565.861134835</v>
      </c>
      <c r="L10" s="118">
        <f>('[10]DNSP Data Inputs 2012-15'!$J$92*'[10]DNSP Data Inputs 2012-15'!$Q$92)+('[10]DNSP Data Inputs 2012-15'!$J$93*'[10]DNSP Data Inputs 2012-15'!$Q$93)+('[10]DNSP Data Inputs 2012-15'!$J$95*'[10]DNSP Data Inputs 2012-15'!$Q$95)+('[10]DNSP Data Inputs 2012-15'!$J$97*'[10]DNSP Data Inputs 2012-15'!$Q$97)</f>
        <v>71873465.408268124</v>
      </c>
    </row>
  </sheetData>
  <mergeCells count="3">
    <mergeCell ref="K4:L4"/>
    <mergeCell ref="C4:E4"/>
    <mergeCell ref="F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66"/>
  <sheetViews>
    <sheetView zoomScale="85" zoomScaleNormal="85" workbookViewId="0">
      <pane ySplit="7" topLeftCell="A8" activePane="bottomLeft" state="frozen"/>
      <selection pane="bottomLeft" activeCell="L38" sqref="L38"/>
    </sheetView>
  </sheetViews>
  <sheetFormatPr defaultRowHeight="15" x14ac:dyDescent="0.25"/>
  <cols>
    <col min="1" max="1" width="15.5703125" style="5" customWidth="1"/>
    <col min="2" max="2" width="52.42578125" style="2" bestFit="1" customWidth="1"/>
    <col min="3" max="3" width="21.140625" style="2" customWidth="1"/>
    <col min="4" max="13" width="13.5703125" style="2" customWidth="1"/>
    <col min="14" max="14" width="13.5703125" style="1" customWidth="1"/>
    <col min="15" max="15" width="17.5703125" style="2" customWidth="1"/>
    <col min="16" max="16" width="16.85546875" style="2" bestFit="1" customWidth="1"/>
    <col min="17" max="16384" width="9.140625" style="2"/>
  </cols>
  <sheetData>
    <row r="1" spans="1:15" x14ac:dyDescent="0.25">
      <c r="A1" s="4"/>
      <c r="C1" s="6"/>
    </row>
    <row r="2" spans="1:15" x14ac:dyDescent="0.25">
      <c r="C2" s="6"/>
      <c r="E2" s="30">
        <f>'[1]Economic Assum'!E4</f>
        <v>2007</v>
      </c>
      <c r="F2" s="30">
        <f>'[1]Economic Assum'!F4</f>
        <v>2008</v>
      </c>
      <c r="G2" s="30">
        <f>'[1]Economic Assum'!G4</f>
        <v>2009</v>
      </c>
      <c r="H2" s="30">
        <f>'[1]Economic Assum'!H4</f>
        <v>2010</v>
      </c>
      <c r="I2" s="30">
        <f>'[1]Economic Assum'!I4</f>
        <v>2011</v>
      </c>
      <c r="J2" s="30">
        <f>'[1]Economic Assum'!J4</f>
        <v>2012</v>
      </c>
      <c r="K2" s="30">
        <f>'[1]Economic Assum'!K4</f>
        <v>2013</v>
      </c>
      <c r="L2" s="30">
        <f>'[1]Economic Assum'!L4</f>
        <v>2014</v>
      </c>
      <c r="M2" s="30">
        <f>'[1]Economic Assum'!M4</f>
        <v>2015</v>
      </c>
    </row>
    <row r="3" spans="1:15" x14ac:dyDescent="0.25">
      <c r="B3" s="6" t="str">
        <f>'[1]Economic Assum'!B6</f>
        <v>CPI</v>
      </c>
      <c r="C3" s="6"/>
      <c r="D3" s="6"/>
      <c r="E3" s="31">
        <f>'[1]Economic Assum'!E6</f>
        <v>3.9385847797062556E-2</v>
      </c>
      <c r="F3" s="31">
        <f>'[1]Economic Assum'!F6</f>
        <v>1.862556197816323E-2</v>
      </c>
      <c r="G3" s="31">
        <f>'[2]Data 2009-15 (Real $2008)'!D144</f>
        <v>4.9810844892812067E-2</v>
      </c>
      <c r="H3" s="31">
        <f>'[2]Data 2009-15 (Real $2008)'!E144</f>
        <v>1.2612612612612484E-2</v>
      </c>
      <c r="I3" s="31">
        <f>'[2]Data 2009-15 (Real $2008)'!F144</f>
        <v>2.7876631079478242E-2</v>
      </c>
      <c r="J3" s="31">
        <f>'[2]Data 2009-15 (Real $2008)'!G144</f>
        <v>3.5199076745527913E-2</v>
      </c>
      <c r="K3" s="31">
        <f>'[2]Data 2009-15 (Real $2008)'!H144</f>
        <v>2.0040080160320661E-2</v>
      </c>
      <c r="L3" s="31">
        <f>'[2]Data 2009-15 (Real $2008)'!I144</f>
        <v>2.47E-2</v>
      </c>
      <c r="M3" s="31">
        <f>'[2]Data 2009-15 (Real $2008)'!J144</f>
        <v>2.47E-2</v>
      </c>
      <c r="N3" s="31"/>
      <c r="O3" s="12"/>
    </row>
    <row r="4" spans="1:15" x14ac:dyDescent="0.25">
      <c r="B4" s="2" t="s">
        <v>19</v>
      </c>
      <c r="D4" s="37"/>
      <c r="E4" s="29">
        <f>F4/(1+F3)</f>
        <v>0.98171500630517017</v>
      </c>
      <c r="F4" s="29">
        <v>1</v>
      </c>
      <c r="G4" s="29">
        <f>F4*(1+G3)</f>
        <v>1.0498108448928121</v>
      </c>
      <c r="H4" s="29">
        <f t="shared" ref="H4:M4" si="0">G4*(1+H3)</f>
        <v>1.0630517023959645</v>
      </c>
      <c r="I4" s="29">
        <f t="shared" si="0"/>
        <v>1.0926860025220682</v>
      </c>
      <c r="J4" s="29">
        <f t="shared" si="0"/>
        <v>1.1311475409836065</v>
      </c>
      <c r="K4" s="29">
        <f t="shared" si="0"/>
        <v>1.1538158283780675</v>
      </c>
      <c r="L4" s="29">
        <f t="shared" si="0"/>
        <v>1.1823150793390058</v>
      </c>
      <c r="M4" s="29">
        <f t="shared" si="0"/>
        <v>1.2115182617986793</v>
      </c>
      <c r="O4" s="12"/>
    </row>
    <row r="5" spans="1:15" x14ac:dyDescent="0.25">
      <c r="B5" s="6" t="s">
        <v>93</v>
      </c>
      <c r="C5" s="6"/>
      <c r="F5" s="32"/>
      <c r="G5" s="32"/>
      <c r="H5" s="32"/>
      <c r="I5" s="32"/>
      <c r="J5" s="32"/>
      <c r="K5" s="29">
        <v>1</v>
      </c>
      <c r="L5" s="29">
        <f>K5*(1+L3)</f>
        <v>1.0246999999999999</v>
      </c>
      <c r="M5" s="29">
        <f>L5*(1+M3)</f>
        <v>1.0500100899999998</v>
      </c>
      <c r="O5" s="12"/>
    </row>
    <row r="6" spans="1:15" x14ac:dyDescent="0.25">
      <c r="B6" s="5"/>
      <c r="C6" s="5"/>
      <c r="G6" s="32"/>
      <c r="H6" s="32"/>
      <c r="I6" s="32"/>
      <c r="K6" s="100"/>
      <c r="L6" s="201"/>
      <c r="M6" s="201"/>
      <c r="O6" s="25"/>
    </row>
    <row r="7" spans="1:15" s="8" customFormat="1" x14ac:dyDescent="0.25">
      <c r="A7" s="7" t="s">
        <v>7</v>
      </c>
      <c r="D7" s="8">
        <v>2006</v>
      </c>
      <c r="E7" s="8">
        <f>D7+1</f>
        <v>2007</v>
      </c>
      <c r="F7" s="8">
        <f t="shared" ref="F7:M7" si="1">E7+1</f>
        <v>2008</v>
      </c>
      <c r="G7" s="8">
        <f t="shared" si="1"/>
        <v>2009</v>
      </c>
      <c r="H7" s="8">
        <f t="shared" si="1"/>
        <v>2010</v>
      </c>
      <c r="I7" s="8">
        <f t="shared" si="1"/>
        <v>2011</v>
      </c>
      <c r="J7" s="8">
        <f t="shared" si="1"/>
        <v>2012</v>
      </c>
      <c r="K7" s="8">
        <f t="shared" si="1"/>
        <v>2013</v>
      </c>
      <c r="L7" s="8">
        <f t="shared" si="1"/>
        <v>2014</v>
      </c>
      <c r="M7" s="8">
        <f t="shared" si="1"/>
        <v>2015</v>
      </c>
      <c r="N7" s="9" t="s">
        <v>6</v>
      </c>
      <c r="O7" s="26"/>
    </row>
    <row r="8" spans="1:15" x14ac:dyDescent="0.25">
      <c r="A8" s="10" t="s">
        <v>8</v>
      </c>
    </row>
    <row r="9" spans="1:15" x14ac:dyDescent="0.25">
      <c r="A9" s="10"/>
      <c r="B9" s="5" t="s">
        <v>13</v>
      </c>
      <c r="C9" s="5"/>
    </row>
    <row r="10" spans="1:15" x14ac:dyDescent="0.25">
      <c r="A10" s="10"/>
      <c r="B10" s="11" t="s">
        <v>2</v>
      </c>
      <c r="C10" s="11"/>
      <c r="D10" s="1">
        <f>'[2]Data 2006-08'!D84</f>
        <v>0</v>
      </c>
      <c r="E10" s="1">
        <f>'[2]Data 2006-08'!E84</f>
        <v>0</v>
      </c>
      <c r="F10" s="1">
        <f>'[2]Data 2006-08'!F84</f>
        <v>0</v>
      </c>
      <c r="G10" s="1"/>
      <c r="H10" s="1"/>
      <c r="I10" s="1"/>
      <c r="J10" s="1"/>
      <c r="K10" s="1"/>
      <c r="L10" s="1"/>
      <c r="M10" s="1"/>
      <c r="N10" s="1">
        <f>SUM(D10:M10)</f>
        <v>0</v>
      </c>
    </row>
    <row r="11" spans="1:15" x14ac:dyDescent="0.25">
      <c r="A11" s="10"/>
      <c r="B11" s="11" t="s">
        <v>0</v>
      </c>
      <c r="C11" s="11"/>
      <c r="D11" s="1"/>
      <c r="E11" s="1"/>
      <c r="F11" s="1"/>
      <c r="G11" s="1">
        <f>'[2]Data 2009-11'!D10</f>
        <v>3869552.5300000003</v>
      </c>
      <c r="H11" s="1">
        <f>'[2]Data 2009-11'!E10</f>
        <v>3588444</v>
      </c>
      <c r="I11" s="1">
        <f>'[2]Data 2009-11'!F10</f>
        <v>4015842.4699999997</v>
      </c>
      <c r="J11" s="1">
        <f>'[7]DNSP Data Inputs 2012-15'!G10</f>
        <v>829899.98999999976</v>
      </c>
      <c r="K11" s="1">
        <f>'[7]DNSP Data Inputs 2012-15'!H10</f>
        <v>0</v>
      </c>
      <c r="L11" s="1">
        <f>'[7]DNSP Data Inputs 2012-15'!I10</f>
        <v>0</v>
      </c>
      <c r="M11" s="1">
        <f>'[7]DNSP Data Inputs 2012-15'!J10</f>
        <v>0</v>
      </c>
      <c r="N11" s="1">
        <f t="shared" ref="N11:N17" si="2">SUM(D11:M11)</f>
        <v>12303738.99</v>
      </c>
      <c r="O11" s="132"/>
    </row>
    <row r="12" spans="1:15" x14ac:dyDescent="0.25">
      <c r="A12" s="10"/>
      <c r="B12" s="11" t="s">
        <v>1</v>
      </c>
      <c r="C12" s="11"/>
      <c r="D12" s="1"/>
      <c r="E12" s="1"/>
      <c r="F12" s="1"/>
      <c r="G12" s="1">
        <f>'[2]Data 2009-11'!D11</f>
        <v>0</v>
      </c>
      <c r="H12" s="1">
        <f>'[2]Data 2009-11'!E11</f>
        <v>0</v>
      </c>
      <c r="I12" s="1">
        <f>'[2]Data 2009-11'!F11</f>
        <v>1767573.8999999987</v>
      </c>
      <c r="J12" s="1">
        <f>'[7]DNSP Data Inputs 2012-15'!G11</f>
        <v>1293502.99</v>
      </c>
      <c r="K12" s="1">
        <f>'[7]DNSP Data Inputs 2012-15'!H11</f>
        <v>0</v>
      </c>
      <c r="L12" s="1">
        <f>'[7]DNSP Data Inputs 2012-15'!I11</f>
        <v>0</v>
      </c>
      <c r="M12" s="1">
        <f>'[7]DNSP Data Inputs 2012-15'!J11</f>
        <v>0</v>
      </c>
      <c r="N12" s="1">
        <f t="shared" si="2"/>
        <v>3061076.8899999987</v>
      </c>
      <c r="O12" s="98"/>
    </row>
    <row r="13" spans="1:15" x14ac:dyDescent="0.25">
      <c r="A13" s="10"/>
      <c r="B13" s="11" t="s">
        <v>2</v>
      </c>
      <c r="C13" s="11"/>
      <c r="G13" s="1">
        <f>'[2]Data 2009-11'!D12</f>
        <v>6412353.8598686606</v>
      </c>
      <c r="H13" s="1">
        <f>'[2]Data 2009-11'!E12</f>
        <v>20654799</v>
      </c>
      <c r="I13" s="1">
        <f>'[2]Data 2009-11'!F12</f>
        <v>42573902.870000102</v>
      </c>
      <c r="J13" s="1">
        <f>'[7]DNSP Data Inputs 2012-15'!G12</f>
        <v>49728099.620000005</v>
      </c>
      <c r="K13" s="1">
        <f>'[7]DNSP Data Inputs 2012-15'!H12</f>
        <v>65015722.418191411</v>
      </c>
      <c r="L13" s="1">
        <f>('[7]DNSP Data Inputs 2012-15'!I12)*L5</f>
        <v>27991044.848035939</v>
      </c>
      <c r="M13" s="1">
        <f>('[7]DNSP Data Inputs 2012-15'!J12)*M5</f>
        <v>1048735.9071337241</v>
      </c>
      <c r="N13" s="1">
        <f t="shared" si="2"/>
        <v>213424658.52322984</v>
      </c>
      <c r="O13" s="133"/>
    </row>
    <row r="14" spans="1:15" x14ac:dyDescent="0.25">
      <c r="A14" s="10"/>
      <c r="B14" s="11" t="s">
        <v>3</v>
      </c>
      <c r="C14" s="11"/>
      <c r="D14" s="1">
        <f>'[2]Data 2006-08'!D85</f>
        <v>0</v>
      </c>
      <c r="E14" s="1">
        <f>'[2]Data 2006-08'!E85</f>
        <v>0</v>
      </c>
      <c r="F14" s="1">
        <f>'[2]Data 2006-08'!F85</f>
        <v>10137598</v>
      </c>
      <c r="G14" s="1">
        <f>'[2]Data 2009-11'!D13</f>
        <v>63237884.079999901</v>
      </c>
      <c r="H14" s="1">
        <f>'[2]Data 2009-11'!E13</f>
        <v>34423246</v>
      </c>
      <c r="I14" s="1">
        <f>'[2]Data 2009-11'!F13</f>
        <v>8382035.7199999997</v>
      </c>
      <c r="J14" s="1">
        <f>'[7]DNSP Data Inputs 2012-15'!G13</f>
        <v>7974074.9500000011</v>
      </c>
      <c r="K14" s="1">
        <f>'[7]DNSP Data Inputs 2012-15'!H13</f>
        <v>1491827.9250000003</v>
      </c>
      <c r="L14" s="1">
        <f>('[7]DNSP Data Inputs 2012-15'!I13)*L5</f>
        <v>6891223.0702046705</v>
      </c>
      <c r="M14" s="1">
        <f>('[7]DNSP Data Inputs 2012-15'!J13)*M5</f>
        <v>2818159.6288279472</v>
      </c>
      <c r="N14" s="1">
        <f t="shared" si="2"/>
        <v>135356049.37403253</v>
      </c>
      <c r="O14" s="133"/>
    </row>
    <row r="15" spans="1:15" x14ac:dyDescent="0.25">
      <c r="A15" s="10"/>
      <c r="B15" s="11" t="s">
        <v>4</v>
      </c>
      <c r="C15" s="11"/>
      <c r="D15" s="1">
        <f>'[2]Data 2006-08'!D86</f>
        <v>0</v>
      </c>
      <c r="E15" s="1">
        <f>'[2]Data 2006-08'!E86</f>
        <v>0</v>
      </c>
      <c r="F15" s="1">
        <f>'[2]Data 2006-08'!F86</f>
        <v>0</v>
      </c>
      <c r="G15" s="1">
        <f>'[2]Data 2009-11'!D14</f>
        <v>0</v>
      </c>
      <c r="H15" s="1">
        <f>'[2]Data 2009-11'!E14</f>
        <v>0</v>
      </c>
      <c r="I15" s="1">
        <f>'[2]Data 2009-11'!F14</f>
        <v>2276045.69</v>
      </c>
      <c r="J15" s="1">
        <f>'[7]DNSP Data Inputs 2012-15'!G14</f>
        <v>418838.68000000005</v>
      </c>
      <c r="K15" s="1">
        <f>'[7]DNSP Data Inputs 2012-15'!H14</f>
        <v>2057154.6366604585</v>
      </c>
      <c r="L15" s="1">
        <f>('[7]DNSP Data Inputs 2012-15'!I14)*L5</f>
        <v>499186.88254687382</v>
      </c>
      <c r="M15" s="1">
        <f>('[7]DNSP Data Inputs 2012-15'!J14)*M5</f>
        <v>497510.35319902457</v>
      </c>
      <c r="N15" s="1">
        <f t="shared" si="2"/>
        <v>5748736.2424063571</v>
      </c>
      <c r="O15" s="133"/>
    </row>
    <row r="16" spans="1:15" x14ac:dyDescent="0.25">
      <c r="A16" s="10"/>
      <c r="B16" s="11" t="s">
        <v>5</v>
      </c>
      <c r="C16" s="11"/>
      <c r="D16" s="1">
        <f>'[2]Data 2006-08'!D87</f>
        <v>0</v>
      </c>
      <c r="E16" s="1">
        <f>'[2]Data 2006-08'!E87</f>
        <v>6037000</v>
      </c>
      <c r="F16" s="1">
        <f>'[2]Data 2006-08'!F87</f>
        <v>17425658</v>
      </c>
      <c r="G16" s="1">
        <f>'[2]Data 2009-11'!D15</f>
        <v>100958.88</v>
      </c>
      <c r="H16" s="1">
        <f>'[2]Data 2009-11'!E15</f>
        <v>367167</v>
      </c>
      <c r="I16" s="1">
        <f>'[2]Data 2009-11'!F15</f>
        <v>10550230.790000001</v>
      </c>
      <c r="J16" s="1">
        <f>'[7]DNSP Data Inputs 2012-15'!G15</f>
        <v>2706937.7899999996</v>
      </c>
      <c r="K16" s="1">
        <f>'[7]DNSP Data Inputs 2012-15'!H15</f>
        <v>9946261.1282666661</v>
      </c>
      <c r="L16" s="1">
        <f>('[7]DNSP Data Inputs 2012-15'!I15)*L5</f>
        <v>4659154.5471228724</v>
      </c>
      <c r="M16" s="1">
        <f>('[7]DNSP Data Inputs 2012-15'!J15)*M5</f>
        <v>0</v>
      </c>
      <c r="N16" s="1">
        <f t="shared" si="2"/>
        <v>51793368.135389544</v>
      </c>
      <c r="O16" s="133"/>
    </row>
    <row r="17" spans="1:16" x14ac:dyDescent="0.25">
      <c r="A17" s="10"/>
      <c r="B17" s="97" t="s">
        <v>6</v>
      </c>
      <c r="C17" s="97"/>
      <c r="D17" s="10">
        <f>'[2]Data 2006-08'!D88</f>
        <v>0</v>
      </c>
      <c r="E17" s="10">
        <f>'[2]Data 2006-08'!E88</f>
        <v>6037000</v>
      </c>
      <c r="F17" s="10">
        <f>'[2]Data 2006-08'!F88</f>
        <v>27563256</v>
      </c>
      <c r="G17" s="10">
        <f>'[2]Data 2009-11'!D16</f>
        <v>73620749.349868566</v>
      </c>
      <c r="H17" s="10">
        <f>'[2]Data 2009-11'!E16</f>
        <v>59033656</v>
      </c>
      <c r="I17" s="10">
        <f>'[2]Data 2009-11'!F16</f>
        <v>69565631.440000102</v>
      </c>
      <c r="J17" s="10">
        <f>'[7]DNSP Data Inputs 2012-15'!G16</f>
        <v>62951354.020000003</v>
      </c>
      <c r="K17" s="10">
        <f>'[7]DNSP Data Inputs 2012-15'!H16</f>
        <v>78510966.108118534</v>
      </c>
      <c r="L17" s="10">
        <f>('[7]DNSP Data Inputs 2012-15'!I16)*L5</f>
        <v>40040609.347910352</v>
      </c>
      <c r="M17" s="10">
        <f>('[7]DNSP Data Inputs 2012-15'!J16)*M5</f>
        <v>4364405.8891606955</v>
      </c>
      <c r="N17" s="10">
        <f t="shared" si="2"/>
        <v>421687628.15505821</v>
      </c>
      <c r="O17" s="34"/>
      <c r="P17" s="36"/>
    </row>
    <row r="18" spans="1:16" x14ac:dyDescent="0.25">
      <c r="A18" s="10"/>
      <c r="B18" s="12"/>
      <c r="C18" s="12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6" s="15" customFormat="1" x14ac:dyDescent="0.25">
      <c r="A19" s="7"/>
      <c r="B19" s="13"/>
      <c r="C19" s="13"/>
      <c r="D19" s="14"/>
      <c r="E19" s="14"/>
      <c r="F19" s="14"/>
      <c r="G19" s="14"/>
      <c r="H19" s="14"/>
      <c r="I19" s="14"/>
      <c r="N19" s="14"/>
    </row>
    <row r="20" spans="1:16" s="17" customFormat="1" x14ac:dyDescent="0.25">
      <c r="A20" s="4"/>
      <c r="B20" s="16"/>
      <c r="C20" s="16"/>
      <c r="D20" s="3"/>
      <c r="E20" s="3"/>
      <c r="F20" s="3"/>
      <c r="G20" s="3"/>
      <c r="H20" s="3"/>
      <c r="I20" s="3"/>
      <c r="N20" s="3"/>
    </row>
    <row r="21" spans="1:16" s="17" customFormat="1" x14ac:dyDescent="0.25">
      <c r="A21" s="18" t="s">
        <v>9</v>
      </c>
      <c r="B21" s="19" t="str">
        <f>B9</f>
        <v>Capex</v>
      </c>
      <c r="C21" s="19"/>
    </row>
    <row r="22" spans="1:16" s="17" customFormat="1" x14ac:dyDescent="0.25">
      <c r="A22" s="18"/>
      <c r="B22" s="20" t="str">
        <f>B10</f>
        <v>Remotely read interval meters &amp; transformers</v>
      </c>
      <c r="C22" s="20"/>
      <c r="D22" s="3">
        <f>'[3]Data 2006-08'!D84</f>
        <v>0</v>
      </c>
      <c r="E22" s="3">
        <f>'[3]Data 2006-08'!E84</f>
        <v>0</v>
      </c>
      <c r="F22" s="3">
        <f>'[3]Data 2006-08'!F84</f>
        <v>0</v>
      </c>
      <c r="G22" s="3"/>
      <c r="H22" s="3"/>
      <c r="I22" s="3"/>
      <c r="J22" s="3"/>
      <c r="K22" s="3"/>
      <c r="L22" s="3"/>
      <c r="M22" s="3"/>
      <c r="N22" s="1">
        <f>SUM(D22:M22)</f>
        <v>0</v>
      </c>
    </row>
    <row r="23" spans="1:16" s="17" customFormat="1" x14ac:dyDescent="0.25">
      <c r="A23" s="18"/>
      <c r="B23" s="20" t="str">
        <f t="shared" ref="B23:B29" si="3">B11</f>
        <v>Accumulation Meters</v>
      </c>
      <c r="C23" s="20"/>
      <c r="D23" s="3"/>
      <c r="E23" s="3"/>
      <c r="F23" s="3"/>
      <c r="G23" s="3">
        <f>'[3]Data 2009-11'!D10</f>
        <v>4532473.805165709</v>
      </c>
      <c r="H23" s="3">
        <f>'[3]Data 2009-11'!E10</f>
        <v>3901457.2776575359</v>
      </c>
      <c r="I23" s="3">
        <f>'[3]Data 2009-11'!F10</f>
        <v>1584273.64</v>
      </c>
      <c r="J23" s="3">
        <f>'[8]DNSP Data Inputs 2012-15'!G10</f>
        <v>949291.2300000001</v>
      </c>
      <c r="K23" s="3">
        <f>'[8]DNSP Data Inputs 2012-15'!H10</f>
        <v>39119.330790101485</v>
      </c>
      <c r="L23" s="3">
        <f>('[8]DNSP Data Inputs 2012-15'!I10)*L5</f>
        <v>0</v>
      </c>
      <c r="M23" s="3">
        <f>('[8]DNSP Data Inputs 2012-15'!J10)*M5</f>
        <v>0</v>
      </c>
      <c r="N23" s="1">
        <f t="shared" ref="N23:N29" si="4">SUM(D23:M23)</f>
        <v>11006615.283613347</v>
      </c>
    </row>
    <row r="24" spans="1:16" s="17" customFormat="1" x14ac:dyDescent="0.25">
      <c r="A24" s="18"/>
      <c r="B24" s="20" t="str">
        <f t="shared" si="3"/>
        <v>Manually read interval meters</v>
      </c>
      <c r="C24" s="20"/>
      <c r="D24" s="3"/>
      <c r="E24" s="3"/>
      <c r="F24" s="3"/>
      <c r="G24" s="3">
        <f>'[3]Data 2009-11'!D11</f>
        <v>4149037.5409553209</v>
      </c>
      <c r="H24" s="3">
        <f>'[3]Data 2009-11'!E11</f>
        <v>4817824.8053511195</v>
      </c>
      <c r="I24" s="3">
        <f>'[3]Data 2009-11'!F11</f>
        <v>760748.95</v>
      </c>
      <c r="J24" s="3">
        <f>'[8]DNSP Data Inputs 2012-15'!G11</f>
        <v>160108.47999999998</v>
      </c>
      <c r="K24" s="3">
        <f>'[8]DNSP Data Inputs 2012-15'!H11</f>
        <v>50266.466158505798</v>
      </c>
      <c r="L24" s="3">
        <f>('[8]DNSP Data Inputs 2012-15'!I11)*L5</f>
        <v>0</v>
      </c>
      <c r="M24" s="3">
        <f>('[8]DNSP Data Inputs 2012-15'!J11)*M5</f>
        <v>0</v>
      </c>
      <c r="N24" s="1">
        <f t="shared" si="4"/>
        <v>9937986.2424649447</v>
      </c>
    </row>
    <row r="25" spans="1:16" s="17" customFormat="1" x14ac:dyDescent="0.25">
      <c r="A25" s="18"/>
      <c r="B25" s="20" t="str">
        <f t="shared" si="3"/>
        <v>Remotely read interval meters &amp; transformers</v>
      </c>
      <c r="C25" s="20"/>
      <c r="G25" s="3">
        <f>'[3]Data 2009-11'!D12</f>
        <v>2210814.54</v>
      </c>
      <c r="H25" s="3">
        <f>'[3]Data 2009-11'!E12</f>
        <v>66062251.949999988</v>
      </c>
      <c r="I25" s="3">
        <f>'[3]Data 2009-11'!F12</f>
        <v>92857134.000426456</v>
      </c>
      <c r="J25" s="3">
        <f>'[8]DNSP Data Inputs 2012-15'!G12</f>
        <v>97462298.309903547</v>
      </c>
      <c r="K25" s="3">
        <f>'[8]DNSP Data Inputs 2012-15'!H12</f>
        <v>65804588.892046392</v>
      </c>
      <c r="L25" s="3">
        <f>('[8]DNSP Data Inputs 2012-15'!I12)*L5</f>
        <v>7386029.163962137</v>
      </c>
      <c r="M25" s="3">
        <f>('[8]DNSP Data Inputs 2012-15'!J12)*M5</f>
        <v>7540738.6753428914</v>
      </c>
      <c r="N25" s="1">
        <f t="shared" si="4"/>
        <v>339323855.53168142</v>
      </c>
    </row>
    <row r="26" spans="1:16" s="17" customFormat="1" x14ac:dyDescent="0.25">
      <c r="A26" s="18"/>
      <c r="B26" s="20" t="str">
        <f t="shared" si="3"/>
        <v>IT</v>
      </c>
      <c r="C26" s="20"/>
      <c r="D26" s="3">
        <f>'[3]Data 2006-08'!D85</f>
        <v>332599.15000000002</v>
      </c>
      <c r="E26" s="3">
        <f>'[3]Data 2006-08'!E85</f>
        <v>2817702.7430999996</v>
      </c>
      <c r="F26" s="3">
        <f>'[3]Data 2006-08'!F85</f>
        <v>10813305.572385356</v>
      </c>
      <c r="G26" s="3">
        <f>'[3]Data 2009-11'!D13</f>
        <v>24047547.66</v>
      </c>
      <c r="H26" s="3">
        <f>'[3]Data 2009-11'!E13</f>
        <v>21118048.699999999</v>
      </c>
      <c r="I26" s="3">
        <f>'[3]Data 2009-11'!F13</f>
        <v>11333414.250000002</v>
      </c>
      <c r="J26" s="3">
        <f>'[8]DNSP Data Inputs 2012-15'!G13</f>
        <v>9257594.75</v>
      </c>
      <c r="K26" s="3">
        <f>'[8]DNSP Data Inputs 2012-15'!H13</f>
        <v>9022086.7167293243</v>
      </c>
      <c r="L26" s="3">
        <f>('[8]DNSP Data Inputs 2012-15'!I13)*L5</f>
        <v>7290568.4212248586</v>
      </c>
      <c r="M26" s="3">
        <f>('[8]DNSP Data Inputs 2012-15'!J13)*M5</f>
        <v>5566562.7361371089</v>
      </c>
      <c r="N26" s="1">
        <f t="shared" si="4"/>
        <v>101599430.69957665</v>
      </c>
    </row>
    <row r="27" spans="1:16" s="17" customFormat="1" x14ac:dyDescent="0.25">
      <c r="A27" s="18"/>
      <c r="B27" s="20" t="str">
        <f t="shared" si="3"/>
        <v>Communications</v>
      </c>
      <c r="C27" s="20"/>
      <c r="D27" s="3">
        <f>'[3]Data 2006-08'!D86</f>
        <v>0</v>
      </c>
      <c r="E27" s="3">
        <f>'[3]Data 2006-08'!E86</f>
        <v>0</v>
      </c>
      <c r="F27" s="3">
        <f>'[3]Data 2006-08'!F86</f>
        <v>352889.07546270383</v>
      </c>
      <c r="G27" s="3">
        <f>'[3]Data 2009-11'!D14</f>
        <v>945747.1</v>
      </c>
      <c r="H27" s="3">
        <f>'[3]Data 2009-11'!E14</f>
        <v>3326145.38</v>
      </c>
      <c r="I27" s="3">
        <f>'[3]Data 2009-11'!F14</f>
        <v>16172606.329999998</v>
      </c>
      <c r="J27" s="3">
        <f>'[8]DNSP Data Inputs 2012-15'!G14</f>
        <v>11529042.254151428</v>
      </c>
      <c r="K27" s="3">
        <f>'[8]DNSP Data Inputs 2012-15'!H14</f>
        <v>8366816.1912810458</v>
      </c>
      <c r="L27" s="3">
        <f>('[8]DNSP Data Inputs 2012-15'!I14)*L5</f>
        <v>2356892.3480613939</v>
      </c>
      <c r="M27" s="3">
        <f>('[8]DNSP Data Inputs 2012-15'!J14)*M5</f>
        <v>1139901.4657820619</v>
      </c>
      <c r="N27" s="1">
        <f t="shared" si="4"/>
        <v>44190040.144738629</v>
      </c>
    </row>
    <row r="28" spans="1:16" s="17" customFormat="1" x14ac:dyDescent="0.25">
      <c r="A28" s="18"/>
      <c r="B28" s="20" t="str">
        <f t="shared" si="3"/>
        <v>Other</v>
      </c>
      <c r="C28" s="20"/>
      <c r="D28" s="3">
        <f>'[3]Data 2006-08'!D87</f>
        <v>0</v>
      </c>
      <c r="E28" s="3">
        <f>'[3]Data 2006-08'!E87</f>
        <v>73834.561198694442</v>
      </c>
      <c r="F28" s="3">
        <f>'[3]Data 2006-08'!F87</f>
        <v>188267.84</v>
      </c>
      <c r="G28" s="3">
        <f>'[3]Data 2009-11'!D15</f>
        <v>527728.94999999995</v>
      </c>
      <c r="H28" s="3">
        <f>'[3]Data 2009-11'!E15</f>
        <v>627653.81999999995</v>
      </c>
      <c r="I28" s="3">
        <f>'[3]Data 2009-11'!F15</f>
        <v>349105.82</v>
      </c>
      <c r="J28" s="3">
        <f>'[8]DNSP Data Inputs 2012-15'!G15</f>
        <v>174723.79</v>
      </c>
      <c r="K28" s="3">
        <f>'[8]DNSP Data Inputs 2012-15'!H15</f>
        <v>123220.28133821014</v>
      </c>
      <c r="L28" s="3">
        <f>('[8]DNSP Data Inputs 2012-15'!I15)*L5</f>
        <v>126263.82228726393</v>
      </c>
      <c r="M28" s="3">
        <f>('[8]DNSP Data Inputs 2012-15'!J15)*M5</f>
        <v>139487.70835541692</v>
      </c>
      <c r="N28" s="1">
        <f t="shared" si="4"/>
        <v>2330286.5931795859</v>
      </c>
    </row>
    <row r="29" spans="1:16" s="17" customFormat="1" x14ac:dyDescent="0.25">
      <c r="A29" s="18"/>
      <c r="B29" s="89" t="str">
        <f t="shared" si="3"/>
        <v>Total</v>
      </c>
      <c r="C29" s="89"/>
      <c r="D29" s="18">
        <f>'[3]Data 2006-08'!D88</f>
        <v>332599.15000000002</v>
      </c>
      <c r="E29" s="18">
        <f>'[3]Data 2006-08'!E88</f>
        <v>2891537.3042986942</v>
      </c>
      <c r="F29" s="18">
        <f>'[3]Data 2006-08'!F88</f>
        <v>11354462.48784806</v>
      </c>
      <c r="G29" s="18">
        <f>'[3]Data 2009-11'!D16</f>
        <v>36413349.596121036</v>
      </c>
      <c r="H29" s="18">
        <f>'[3]Data 2009-11'!E16</f>
        <v>99853381.933008626</v>
      </c>
      <c r="I29" s="18">
        <f>'[3]Data 2009-11'!F16</f>
        <v>123057282.99042645</v>
      </c>
      <c r="J29" s="18">
        <f>'[8]DNSP Data Inputs 2012-15'!G$16</f>
        <v>119533058.81405498</v>
      </c>
      <c r="K29" s="18">
        <f>'[8]DNSP Data Inputs 2012-15'!H$16</f>
        <v>83406097.878343582</v>
      </c>
      <c r="L29" s="18">
        <f>('[8]DNSP Data Inputs 2012-15'!I$16)*L5</f>
        <v>17159753.755535655</v>
      </c>
      <c r="M29" s="18">
        <f>('[8]DNSP Data Inputs 2012-15'!J$16)*M5</f>
        <v>14386690.585617481</v>
      </c>
      <c r="N29" s="10">
        <f t="shared" si="4"/>
        <v>508388214.49525452</v>
      </c>
      <c r="O29" s="34"/>
      <c r="P29" s="36"/>
    </row>
    <row r="30" spans="1:16" s="17" customFormat="1" x14ac:dyDescent="0.25">
      <c r="A30" s="18"/>
      <c r="B30" s="16"/>
      <c r="C30" s="16"/>
      <c r="D30" s="3"/>
      <c r="E30" s="3"/>
      <c r="F30" s="3"/>
      <c r="G30" s="3"/>
      <c r="H30" s="3"/>
      <c r="I30" s="3"/>
      <c r="J30" s="3"/>
      <c r="K30" s="3"/>
      <c r="L30" s="3"/>
      <c r="M30" s="3"/>
      <c r="N30" s="1"/>
      <c r="P30" s="2"/>
    </row>
    <row r="31" spans="1:16" s="15" customFormat="1" x14ac:dyDescent="0.25">
      <c r="A31" s="7"/>
      <c r="B31" s="13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6" s="17" customFormat="1" x14ac:dyDescent="0.25">
      <c r="A32" s="4"/>
      <c r="B32" s="16"/>
      <c r="C32" s="1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 s="17" customFormat="1" x14ac:dyDescent="0.25">
      <c r="A33" s="18" t="s">
        <v>11</v>
      </c>
      <c r="B33" s="19" t="str">
        <f>B21</f>
        <v>Capex</v>
      </c>
      <c r="C33" s="19"/>
    </row>
    <row r="34" spans="1:16" s="17" customFormat="1" x14ac:dyDescent="0.25">
      <c r="A34" s="4"/>
      <c r="B34" s="20" t="str">
        <f t="shared" ref="B34:B41" si="5">B22</f>
        <v>Remotely read interval meters &amp; transformers</v>
      </c>
      <c r="C34" s="20"/>
      <c r="D34" s="3">
        <f>'[4]Data 2006-08'!D84</f>
        <v>0</v>
      </c>
      <c r="E34" s="3">
        <f>'[4]Data 2006-08'!E84</f>
        <v>0</v>
      </c>
      <c r="F34" s="3">
        <f>'[4]Data 2006-08'!F84</f>
        <v>0</v>
      </c>
      <c r="G34" s="3"/>
      <c r="H34" s="3"/>
      <c r="I34" s="3"/>
      <c r="J34" s="3"/>
      <c r="K34" s="3"/>
      <c r="L34" s="3"/>
      <c r="M34" s="3"/>
      <c r="N34" s="1">
        <f>SUM(D34:M34)</f>
        <v>0</v>
      </c>
    </row>
    <row r="35" spans="1:16" s="17" customFormat="1" x14ac:dyDescent="0.25">
      <c r="A35" s="4"/>
      <c r="B35" s="20" t="str">
        <f t="shared" si="5"/>
        <v>Accumulation Meters</v>
      </c>
      <c r="C35" s="20"/>
      <c r="D35" s="3"/>
      <c r="E35" s="3"/>
      <c r="F35" s="3"/>
      <c r="G35" s="3">
        <f>'[4]Data 2009-11'!D10</f>
        <v>1468615.4141471654</v>
      </c>
      <c r="H35" s="3">
        <f>'[4]Data 2009-11'!E10</f>
        <v>1304832.0340102196</v>
      </c>
      <c r="I35" s="3">
        <f>'[4]Data 2009-11'!F10</f>
        <v>115969.86000000002</v>
      </c>
      <c r="J35" s="3">
        <f>'[9]DNSP Data Inputs 2012-15'!G10</f>
        <v>27756.020000000004</v>
      </c>
      <c r="K35" s="3">
        <f>'[9]DNSP Data Inputs 2012-15'!H10</f>
        <v>3833.4159707219187</v>
      </c>
      <c r="L35" s="3">
        <f>('[9]DNSP Data Inputs 2012-15'!I10)*L5</f>
        <v>0</v>
      </c>
      <c r="M35" s="3">
        <f>('[9]DNSP Data Inputs 2012-15'!J10)*M5</f>
        <v>0</v>
      </c>
      <c r="N35" s="1">
        <f t="shared" ref="N35:N41" si="6">SUM(D35:M35)</f>
        <v>2921006.7441281066</v>
      </c>
    </row>
    <row r="36" spans="1:16" s="17" customFormat="1" x14ac:dyDescent="0.25">
      <c r="A36" s="4"/>
      <c r="B36" s="20" t="str">
        <f t="shared" si="5"/>
        <v>Manually read interval meters</v>
      </c>
      <c r="C36" s="20"/>
      <c r="D36" s="3"/>
      <c r="E36" s="3"/>
      <c r="F36" s="3"/>
      <c r="G36" s="3">
        <f>'[4]Data 2009-11'!D11</f>
        <v>618842.83315334772</v>
      </c>
      <c r="H36" s="3">
        <f>'[4]Data 2009-11'!E11</f>
        <v>1131573.3510638534</v>
      </c>
      <c r="I36" s="3">
        <f>'[4]Data 2009-11'!F11</f>
        <v>272171.59999999998</v>
      </c>
      <c r="J36" s="3">
        <f>'[9]DNSP Data Inputs 2012-15'!G11</f>
        <v>46787.92</v>
      </c>
      <c r="K36" s="3">
        <f>'[9]DNSP Data Inputs 2012-15'!H11</f>
        <v>6203.2090863526764</v>
      </c>
      <c r="L36" s="3">
        <f>('[9]DNSP Data Inputs 2012-15'!I11)*L5</f>
        <v>0</v>
      </c>
      <c r="M36" s="3">
        <f>('[9]DNSP Data Inputs 2012-15'!J11)*M5</f>
        <v>0</v>
      </c>
      <c r="N36" s="1">
        <f t="shared" si="6"/>
        <v>2075578.9133035538</v>
      </c>
    </row>
    <row r="37" spans="1:16" s="17" customFormat="1" x14ac:dyDescent="0.25">
      <c r="A37" s="4"/>
      <c r="B37" s="20" t="str">
        <f t="shared" si="5"/>
        <v>Remotely read interval meters &amp; transformers</v>
      </c>
      <c r="C37" s="20"/>
      <c r="G37" s="3">
        <f>'[4]Data 2009-11'!D12</f>
        <v>1194118.8600000001</v>
      </c>
      <c r="H37" s="3">
        <f>'[4]Data 2009-11'!E12</f>
        <v>24419109.440000001</v>
      </c>
      <c r="I37" s="3">
        <f>'[4]Data 2009-11'!F12</f>
        <v>39064217.97794871</v>
      </c>
      <c r="J37" s="3">
        <f>'[9]DNSP Data Inputs 2012-15'!G12</f>
        <v>35577543.772276796</v>
      </c>
      <c r="K37" s="3">
        <f>'[9]DNSP Data Inputs 2012-15'!H12</f>
        <v>28146647.275340497</v>
      </c>
      <c r="L37" s="3">
        <f>('[9]DNSP Data Inputs 2012-15'!I12)*L5</f>
        <v>2609275.2740740012</v>
      </c>
      <c r="M37" s="3">
        <f>('[9]DNSP Data Inputs 2012-15'!J12)*M5</f>
        <v>3184827.9746103077</v>
      </c>
      <c r="N37" s="1">
        <f t="shared" si="6"/>
        <v>134195740.57425031</v>
      </c>
    </row>
    <row r="38" spans="1:16" s="17" customFormat="1" x14ac:dyDescent="0.25">
      <c r="A38" s="4"/>
      <c r="B38" s="20" t="str">
        <f t="shared" si="5"/>
        <v>IT</v>
      </c>
      <c r="C38" s="20"/>
      <c r="D38" s="3">
        <f>'[4]Data 2006-08'!D85</f>
        <v>332599.15000000002</v>
      </c>
      <c r="E38" s="3">
        <f>'[4]Data 2006-08'!E85</f>
        <v>1661921.6560751181</v>
      </c>
      <c r="F38" s="3">
        <f>'[4]Data 2006-08'!F85</f>
        <v>6813649.1338538202</v>
      </c>
      <c r="G38" s="3">
        <f>'[4]Data 2009-11'!D13</f>
        <v>13010286.379999999</v>
      </c>
      <c r="H38" s="3">
        <f>'[4]Data 2009-11'!E13</f>
        <v>11888655.5</v>
      </c>
      <c r="I38" s="3">
        <f>'[4]Data 2009-11'!F13</f>
        <v>6194914.0899999999</v>
      </c>
      <c r="J38" s="3">
        <f>'[9]DNSP Data Inputs 2012-15'!G13</f>
        <v>6292021.4800000004</v>
      </c>
      <c r="K38" s="3">
        <f>'[9]DNSP Data Inputs 2012-15'!H13</f>
        <v>4513484.7458521761</v>
      </c>
      <c r="L38" s="3">
        <f>('[9]DNSP Data Inputs 2012-15'!I13)*L5</f>
        <v>3493937.7631834261</v>
      </c>
      <c r="M38" s="3">
        <f>('[9]DNSP Data Inputs 2012-15'!J13)*M5</f>
        <v>2637488.008761235</v>
      </c>
      <c r="N38" s="1">
        <f t="shared" si="6"/>
        <v>56838957.907725774</v>
      </c>
    </row>
    <row r="39" spans="1:16" s="17" customFormat="1" x14ac:dyDescent="0.25">
      <c r="A39" s="4"/>
      <c r="B39" s="20" t="str">
        <f t="shared" si="5"/>
        <v>Communications</v>
      </c>
      <c r="C39" s="20"/>
      <c r="D39" s="3">
        <f>'[4]Data 2006-08'!D86</f>
        <v>0</v>
      </c>
      <c r="E39" s="3">
        <f>'[4]Data 2006-08'!E86</f>
        <v>0</v>
      </c>
      <c r="F39" s="3">
        <f>'[4]Data 2006-08'!F86</f>
        <v>167727.85031276822</v>
      </c>
      <c r="G39" s="3">
        <f>'[4]Data 2009-11'!D14</f>
        <v>496679.74</v>
      </c>
      <c r="H39" s="3">
        <f>'[4]Data 2009-11'!E14</f>
        <v>1581806.02</v>
      </c>
      <c r="I39" s="3">
        <f>'[4]Data 2009-11'!F14</f>
        <v>948182.41999999993</v>
      </c>
      <c r="J39" s="3">
        <f>'[9]DNSP Data Inputs 2012-15'!G14</f>
        <v>2341229.455105715</v>
      </c>
      <c r="K39" s="3">
        <f>'[9]DNSP Data Inputs 2012-15'!H14</f>
        <v>225891.06705936705</v>
      </c>
      <c r="L39" s="3">
        <f>('[9]DNSP Data Inputs 2012-15'!I14)*L5</f>
        <v>135548.46811781565</v>
      </c>
      <c r="M39" s="3">
        <f>('[9]DNSP Data Inputs 2012-15'!J14)*M5</f>
        <v>94118.361811384413</v>
      </c>
      <c r="N39" s="1">
        <f t="shared" si="6"/>
        <v>5991183.3824070506</v>
      </c>
    </row>
    <row r="40" spans="1:16" s="17" customFormat="1" x14ac:dyDescent="0.25">
      <c r="A40" s="4"/>
      <c r="B40" s="20" t="str">
        <f t="shared" si="5"/>
        <v>Other</v>
      </c>
      <c r="C40" s="20"/>
      <c r="D40" s="3">
        <f>'[4]Data 2006-08'!D87</f>
        <v>0</v>
      </c>
      <c r="E40" s="3">
        <f>'[4]Data 2006-08'!E87</f>
        <v>0</v>
      </c>
      <c r="F40" s="3">
        <f>'[4]Data 2006-08'!F87</f>
        <v>0</v>
      </c>
      <c r="G40" s="3">
        <f>'[4]Data 2009-11'!D15</f>
        <v>0</v>
      </c>
      <c r="H40" s="3">
        <f>'[4]Data 2009-11'!E15</f>
        <v>0</v>
      </c>
      <c r="I40" s="3">
        <f>'[4]Data 2009-11'!F15</f>
        <v>90958.91</v>
      </c>
      <c r="J40" s="3">
        <f>'[9]DNSP Data Inputs 2012-15'!G15</f>
        <v>0</v>
      </c>
      <c r="K40" s="3">
        <f>'[9]DNSP Data Inputs 2012-15'!H15</f>
        <v>0</v>
      </c>
      <c r="L40" s="3">
        <f>('[9]DNSP Data Inputs 2012-15'!I15)*L5</f>
        <v>0</v>
      </c>
      <c r="M40" s="3">
        <f>('[9]DNSP Data Inputs 2012-15'!J15)*M5</f>
        <v>0</v>
      </c>
      <c r="N40" s="1">
        <f t="shared" si="6"/>
        <v>90958.91</v>
      </c>
    </row>
    <row r="41" spans="1:16" s="17" customFormat="1" x14ac:dyDescent="0.25">
      <c r="A41" s="4"/>
      <c r="B41" s="89" t="str">
        <f t="shared" si="5"/>
        <v>Total</v>
      </c>
      <c r="C41" s="89"/>
      <c r="D41" s="18">
        <f>'[4]Data 2006-08'!D88</f>
        <v>332599.15000000002</v>
      </c>
      <c r="E41" s="18">
        <f>'[4]Data 2006-08'!E88</f>
        <v>1661921.6560751181</v>
      </c>
      <c r="F41" s="18">
        <f>'[4]Data 2006-08'!F88</f>
        <v>6981376.9841665886</v>
      </c>
      <c r="G41" s="18">
        <f>'[4]Data 2009-11'!D16</f>
        <v>16788543.22730051</v>
      </c>
      <c r="H41" s="18">
        <f>'[4]Data 2009-11'!E16</f>
        <v>40325976.34507408</v>
      </c>
      <c r="I41" s="18">
        <f>'[4]Data 2009-11'!F16</f>
        <v>46686414.857948706</v>
      </c>
      <c r="J41" s="18">
        <f>'[9]DNSP Data Inputs 2012-15'!G$16</f>
        <v>44285338.647382505</v>
      </c>
      <c r="K41" s="18">
        <f>'[9]DNSP Data Inputs 2012-15'!H$16</f>
        <v>32896059.713309117</v>
      </c>
      <c r="L41" s="18">
        <f>('[9]DNSP Data Inputs 2012-15'!I$16)*L5</f>
        <v>6238761.5053752437</v>
      </c>
      <c r="M41" s="18">
        <f>('[9]DNSP Data Inputs 2012-15'!J$16)*M5</f>
        <v>5916434.3451829273</v>
      </c>
      <c r="N41" s="10">
        <f t="shared" si="6"/>
        <v>202113426.43181479</v>
      </c>
      <c r="O41" s="34"/>
      <c r="P41" s="36"/>
    </row>
    <row r="42" spans="1:16" s="17" customFormat="1" x14ac:dyDescent="0.25">
      <c r="A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1"/>
      <c r="P42" s="2"/>
    </row>
    <row r="43" spans="1:16" s="15" customFormat="1" x14ac:dyDescent="0.25">
      <c r="A43" s="7"/>
      <c r="B43" s="21"/>
      <c r="C43" s="21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6" s="17" customFormat="1" x14ac:dyDescent="0.25">
      <c r="A44" s="4"/>
      <c r="B44" s="19"/>
      <c r="C44" s="1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6" s="17" customFormat="1" x14ac:dyDescent="0.25">
      <c r="A45" s="18" t="s">
        <v>10</v>
      </c>
      <c r="B45" s="19" t="str">
        <f>B33</f>
        <v>Capex</v>
      </c>
      <c r="C45" s="19"/>
      <c r="D45" s="18"/>
      <c r="E45" s="18"/>
      <c r="F45" s="18"/>
      <c r="G45" s="18"/>
      <c r="H45" s="18"/>
      <c r="I45" s="18"/>
      <c r="J45" s="27"/>
      <c r="K45" s="27"/>
      <c r="L45" s="27"/>
      <c r="M45" s="27"/>
      <c r="N45" s="18"/>
    </row>
    <row r="46" spans="1:16" s="17" customFormat="1" x14ac:dyDescent="0.25">
      <c r="A46" s="4"/>
      <c r="B46" s="22" t="str">
        <f t="shared" ref="B46:B52" si="7">B34</f>
        <v>Remotely read interval meters &amp; transformers</v>
      </c>
      <c r="C46" s="22"/>
      <c r="D46" s="27">
        <f>'[5]Data 2006-08'!D84</f>
        <v>0</v>
      </c>
      <c r="E46" s="27">
        <f>'[5]Data 2006-08'!E84</f>
        <v>0</v>
      </c>
      <c r="F46" s="27">
        <f>'[5]Data 2006-08'!F84</f>
        <v>0</v>
      </c>
      <c r="G46" s="27"/>
      <c r="H46" s="27"/>
      <c r="I46" s="27"/>
      <c r="J46" s="27"/>
      <c r="K46" s="27"/>
      <c r="L46" s="27"/>
      <c r="M46" s="27"/>
      <c r="N46" s="1">
        <f>SUM(D46:M46)</f>
        <v>0</v>
      </c>
    </row>
    <row r="47" spans="1:16" s="17" customFormat="1" x14ac:dyDescent="0.25">
      <c r="A47" s="4"/>
      <c r="B47" s="22" t="str">
        <f t="shared" si="7"/>
        <v>Accumulation Meters</v>
      </c>
      <c r="C47" s="22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1">
        <f t="shared" ref="N47:N53" si="8">SUM(D47:M47)</f>
        <v>0</v>
      </c>
    </row>
    <row r="48" spans="1:16" s="17" customFormat="1" x14ac:dyDescent="0.25">
      <c r="A48" s="4"/>
      <c r="B48" s="22" t="str">
        <f t="shared" si="7"/>
        <v>Manually read interval meters</v>
      </c>
      <c r="C48" s="22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1">
        <f t="shared" si="8"/>
        <v>0</v>
      </c>
    </row>
    <row r="49" spans="1:16" s="17" customFormat="1" x14ac:dyDescent="0.25">
      <c r="A49" s="4"/>
      <c r="B49" s="22" t="str">
        <f t="shared" si="7"/>
        <v>Remotely read interval meters &amp; transformers</v>
      </c>
      <c r="C49" s="22"/>
      <c r="D49" s="28"/>
      <c r="E49" s="28"/>
      <c r="F49" s="28"/>
      <c r="G49" s="27"/>
      <c r="H49" s="27"/>
      <c r="I49" s="27"/>
      <c r="J49" s="27"/>
      <c r="K49" s="27"/>
      <c r="L49" s="27"/>
      <c r="M49" s="27"/>
      <c r="N49" s="1">
        <f t="shared" si="8"/>
        <v>0</v>
      </c>
    </row>
    <row r="50" spans="1:16" s="17" customFormat="1" x14ac:dyDescent="0.25">
      <c r="A50" s="4"/>
      <c r="B50" s="22" t="str">
        <f t="shared" si="7"/>
        <v>IT</v>
      </c>
      <c r="C50" s="22"/>
      <c r="D50" s="27">
        <f>'[5]Data 2006-08'!D85</f>
        <v>0</v>
      </c>
      <c r="E50" s="27">
        <f>'[5]Data 2006-08'!E85</f>
        <v>3778690.47</v>
      </c>
      <c r="F50" s="27">
        <f>'[5]Data 2006-08'!F85</f>
        <v>10033258.379999999</v>
      </c>
      <c r="G50" s="27"/>
      <c r="H50" s="27"/>
      <c r="I50" s="27"/>
      <c r="J50" s="27"/>
      <c r="K50" s="27"/>
      <c r="L50" s="27"/>
      <c r="M50" s="27"/>
      <c r="N50" s="1">
        <f t="shared" si="8"/>
        <v>13811948.85</v>
      </c>
    </row>
    <row r="51" spans="1:16" s="17" customFormat="1" x14ac:dyDescent="0.25">
      <c r="A51" s="4"/>
      <c r="B51" s="22" t="str">
        <f t="shared" si="7"/>
        <v>Communications</v>
      </c>
      <c r="C51" s="22"/>
      <c r="D51" s="27">
        <f>'[5]Data 2006-08'!D86</f>
        <v>0</v>
      </c>
      <c r="E51" s="27">
        <f>'[5]Data 2006-08'!E86</f>
        <v>0</v>
      </c>
      <c r="F51" s="27">
        <f>'[5]Data 2006-08'!F86</f>
        <v>0</v>
      </c>
      <c r="G51" s="27"/>
      <c r="H51" s="27"/>
      <c r="I51" s="27"/>
      <c r="J51" s="27"/>
      <c r="K51" s="27"/>
      <c r="L51" s="27"/>
      <c r="M51" s="27"/>
      <c r="N51" s="1">
        <f t="shared" si="8"/>
        <v>0</v>
      </c>
    </row>
    <row r="52" spans="1:16" s="17" customFormat="1" x14ac:dyDescent="0.25">
      <c r="A52" s="4"/>
      <c r="B52" s="22" t="str">
        <f t="shared" si="7"/>
        <v>Other</v>
      </c>
      <c r="C52" s="22"/>
      <c r="D52" s="27">
        <f>'[5]Data 2006-08'!D87</f>
        <v>0</v>
      </c>
      <c r="E52" s="27">
        <f>'[5]Data 2006-08'!E87</f>
        <v>0</v>
      </c>
      <c r="F52" s="27">
        <f>'[5]Data 2006-08'!F87</f>
        <v>0</v>
      </c>
      <c r="G52" s="27"/>
      <c r="H52" s="27"/>
      <c r="I52" s="27"/>
      <c r="J52" s="27"/>
      <c r="K52" s="27"/>
      <c r="L52" s="27"/>
      <c r="M52" s="27"/>
      <c r="N52" s="1">
        <f t="shared" si="8"/>
        <v>0</v>
      </c>
    </row>
    <row r="53" spans="1:16" s="17" customFormat="1" x14ac:dyDescent="0.25">
      <c r="A53" s="4"/>
      <c r="B53" s="89" t="str">
        <f>B41</f>
        <v>Total</v>
      </c>
      <c r="C53" s="89"/>
      <c r="D53" s="18">
        <f>'[5]Data 2006-08'!D88</f>
        <v>0</v>
      </c>
      <c r="E53" s="18">
        <f>'[5]Data 2006-08'!E88</f>
        <v>3778690.47</v>
      </c>
      <c r="F53" s="18">
        <f>'[5]Data 2006-08'!F88</f>
        <v>10033258.379999999</v>
      </c>
      <c r="G53" s="18">
        <f>'[5]Data 2009-11'!D16</f>
        <v>38593720.435499437</v>
      </c>
      <c r="H53" s="18">
        <f>'[5]Data 2009-11'!E16</f>
        <v>88848084.033738032</v>
      </c>
      <c r="I53" s="18">
        <f>'[5]Data 2009-11'!F16</f>
        <v>112694436.1680361</v>
      </c>
      <c r="J53" s="18">
        <f>'[11]DNSP Data Inputs 2012-15'!G$16</f>
        <v>140838402.08090585</v>
      </c>
      <c r="K53" s="18">
        <f>'[11]DNSP Data Inputs 2012-15'!H$16</f>
        <v>132934539.73226717</v>
      </c>
      <c r="L53" s="18">
        <f>('[11]DNSP Data Inputs 2012-15'!I$16)*L5</f>
        <v>17558710.16059294</v>
      </c>
      <c r="M53" s="18">
        <f>('[11]DNSP Data Inputs 2012-15'!J$16)*M5</f>
        <v>18935923.941072214</v>
      </c>
      <c r="N53" s="10">
        <f t="shared" si="8"/>
        <v>564215765.40211177</v>
      </c>
      <c r="O53" s="34"/>
      <c r="P53" s="36"/>
    </row>
    <row r="54" spans="1:16" s="17" customFormat="1" x14ac:dyDescent="0.25"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1"/>
      <c r="P54" s="2"/>
    </row>
    <row r="55" spans="1:16" s="15" customFormat="1" x14ac:dyDescent="0.25">
      <c r="A55" s="7"/>
      <c r="B55" s="21"/>
      <c r="C55" s="21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6" s="17" customFormat="1" x14ac:dyDescent="0.25">
      <c r="A56" s="4"/>
      <c r="B56" s="19"/>
      <c r="C56" s="19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6" s="17" customFormat="1" x14ac:dyDescent="0.25">
      <c r="A57" s="18" t="s">
        <v>12</v>
      </c>
      <c r="B57" s="24" t="str">
        <f t="shared" ref="B57:B65" si="9">B45</f>
        <v>Capex</v>
      </c>
      <c r="C57" s="2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6" x14ac:dyDescent="0.25">
      <c r="B58" s="23" t="str">
        <f t="shared" si="9"/>
        <v>Remotely read interval meters &amp; transformers</v>
      </c>
      <c r="C58" s="23"/>
      <c r="D58" s="3">
        <f>'[6]Data 2006-08'!D84</f>
        <v>0</v>
      </c>
      <c r="E58" s="3">
        <f>'[6]Data 2006-08'!E84</f>
        <v>0</v>
      </c>
      <c r="F58" s="3">
        <f>'[6]Data 2006-08'!F84</f>
        <v>0</v>
      </c>
      <c r="G58" s="3"/>
      <c r="H58" s="3"/>
      <c r="I58" s="3"/>
      <c r="J58" s="3"/>
      <c r="K58" s="3"/>
      <c r="L58" s="3"/>
      <c r="M58" s="3"/>
      <c r="N58" s="1">
        <f>SUM(D58:M58)</f>
        <v>0</v>
      </c>
    </row>
    <row r="59" spans="1:16" x14ac:dyDescent="0.25">
      <c r="B59" s="23" t="str">
        <f t="shared" si="9"/>
        <v>Accumulation Meters</v>
      </c>
      <c r="C59" s="23"/>
      <c r="D59" s="3"/>
      <c r="E59" s="3"/>
      <c r="F59" s="3"/>
      <c r="G59" s="3">
        <f>'[6]Data 2009-11'!D10</f>
        <v>2949525.1749878968</v>
      </c>
      <c r="H59" s="3">
        <f>'[6]Data 2009-11'!E10</f>
        <v>1859749</v>
      </c>
      <c r="I59" s="3">
        <f>'[6]Data 2009-11'!F10</f>
        <v>1568574.6528388122</v>
      </c>
      <c r="J59" s="3">
        <f>'[10]DNSP Data Inputs 2012-15'!G10</f>
        <v>74072.104309416609</v>
      </c>
      <c r="K59" s="3">
        <f>'[10]DNSP Data Inputs 2012-15'!H10</f>
        <v>46819.839679358716</v>
      </c>
      <c r="L59" s="3">
        <f>('[10]DNSP Data Inputs 2012-15'!I10)*L5</f>
        <v>0</v>
      </c>
      <c r="M59" s="3">
        <f>('[10]DNSP Data Inputs 2012-15'!J10)*M5</f>
        <v>0</v>
      </c>
      <c r="N59" s="1">
        <f t="shared" ref="N59:N65" si="10">SUM(D59:M59)</f>
        <v>6498740.7718154844</v>
      </c>
    </row>
    <row r="60" spans="1:16" x14ac:dyDescent="0.25">
      <c r="B60" s="23" t="str">
        <f t="shared" si="9"/>
        <v>Manually read interval meters</v>
      </c>
      <c r="C60" s="23"/>
      <c r="D60" s="3"/>
      <c r="E60" s="3"/>
      <c r="F60" s="3"/>
      <c r="G60" s="3">
        <f>'[6]Data 2009-11'!D11</f>
        <v>870338.00501210347</v>
      </c>
      <c r="H60" s="3">
        <f>'[6]Data 2009-11'!E11</f>
        <v>1141834</v>
      </c>
      <c r="I60" s="3">
        <f>'[6]Data 2009-11'!F11</f>
        <v>963017.75006437069</v>
      </c>
      <c r="J60" s="3">
        <f>'[10]DNSP Data Inputs 2012-15'!G11</f>
        <v>726212.07420881651</v>
      </c>
      <c r="K60" s="3">
        <f>'[10]DNSP Data Inputs 2012-15'!H11</f>
        <v>0</v>
      </c>
      <c r="L60" s="3">
        <f>('[10]DNSP Data Inputs 2012-15'!I11)*L5</f>
        <v>0</v>
      </c>
      <c r="M60" s="3">
        <f>('[10]DNSP Data Inputs 2012-15'!J11)*M5</f>
        <v>0</v>
      </c>
      <c r="N60" s="1">
        <f t="shared" si="10"/>
        <v>3701401.8292852906</v>
      </c>
    </row>
    <row r="61" spans="1:16" x14ac:dyDescent="0.25">
      <c r="B61" s="23" t="str">
        <f t="shared" si="9"/>
        <v>Remotely read interval meters &amp; transformers</v>
      </c>
      <c r="C61" s="23"/>
      <c r="D61" s="17"/>
      <c r="E61" s="17"/>
      <c r="F61" s="17"/>
      <c r="G61" s="3">
        <f>'[6]Data 2009-11'!D12</f>
        <v>4649474.5767002329</v>
      </c>
      <c r="H61" s="3">
        <f>'[6]Data 2009-11'!E12</f>
        <v>10378052</v>
      </c>
      <c r="I61" s="3">
        <f>'[6]Data 2009-11'!F12</f>
        <v>18304368.381029479</v>
      </c>
      <c r="J61" s="3">
        <f>'[10]DNSP Data Inputs 2012-15'!G12</f>
        <v>23740254.954135478</v>
      </c>
      <c r="K61" s="3">
        <f>'[10]DNSP Data Inputs 2012-15'!H12</f>
        <v>36233290.682221986</v>
      </c>
      <c r="L61" s="3">
        <f>('[10]DNSP Data Inputs 2012-15'!I12)*L5</f>
        <v>4764208.99464464</v>
      </c>
      <c r="M61" s="3">
        <f>('[10]DNSP Data Inputs 2012-15'!J12)*M5</f>
        <v>889071.91773764323</v>
      </c>
      <c r="N61" s="1">
        <f t="shared" si="10"/>
        <v>98958721.506469473</v>
      </c>
    </row>
    <row r="62" spans="1:16" x14ac:dyDescent="0.25">
      <c r="B62" s="23" t="str">
        <f t="shared" si="9"/>
        <v>IT</v>
      </c>
      <c r="C62" s="23"/>
      <c r="D62" s="3">
        <f>'[6]Data 2006-08'!D85</f>
        <v>0</v>
      </c>
      <c r="E62" s="3">
        <f>'[6]Data 2006-08'!E85</f>
        <v>0</v>
      </c>
      <c r="F62" s="3">
        <f>'[6]Data 2006-08'!F85</f>
        <v>2905326.44</v>
      </c>
      <c r="G62" s="3">
        <f>'[6]Data 2009-11'!D13</f>
        <v>25683196.395000003</v>
      </c>
      <c r="H62" s="3">
        <f>'[6]Data 2009-11'!E13</f>
        <v>5083617</v>
      </c>
      <c r="I62" s="3">
        <f>'[6]Data 2009-11'!F13</f>
        <v>285916.66200000001</v>
      </c>
      <c r="J62" s="3">
        <f>'[10]DNSP Data Inputs 2012-15'!G13</f>
        <v>499072.1998</v>
      </c>
      <c r="K62" s="3">
        <f>'[10]DNSP Data Inputs 2012-15'!H13</f>
        <v>1115270.5055065695</v>
      </c>
      <c r="L62" s="3">
        <f>('[10]DNSP Data Inputs 2012-15'!I13)*L5</f>
        <v>4031178.1023308481</v>
      </c>
      <c r="M62" s="3">
        <f>('[10]DNSP Data Inputs 2012-15'!J13)*M5</f>
        <v>3687175.7465304174</v>
      </c>
      <c r="N62" s="1">
        <f t="shared" si="10"/>
        <v>43290753.051167846</v>
      </c>
    </row>
    <row r="63" spans="1:16" x14ac:dyDescent="0.25">
      <c r="B63" s="23" t="str">
        <f t="shared" si="9"/>
        <v>Communications</v>
      </c>
      <c r="C63" s="23"/>
      <c r="D63" s="3">
        <f>'[6]Data 2006-08'!D86</f>
        <v>0</v>
      </c>
      <c r="E63" s="3">
        <f>'[6]Data 2006-08'!E86</f>
        <v>0</v>
      </c>
      <c r="F63" s="3">
        <f>'[6]Data 2006-08'!F86</f>
        <v>0</v>
      </c>
      <c r="G63" s="3">
        <f>'[6]Data 2009-11'!D14</f>
        <v>135135.01257138891</v>
      </c>
      <c r="H63" s="3">
        <f>'[6]Data 2009-11'!E14</f>
        <v>346256</v>
      </c>
      <c r="I63" s="3">
        <f>'[6]Data 2009-11'!F14</f>
        <v>1190171.4880017799</v>
      </c>
      <c r="J63" s="3">
        <f>'[10]DNSP Data Inputs 2012-15'!G14</f>
        <v>1703483.594085244</v>
      </c>
      <c r="K63" s="3">
        <f>'[10]DNSP Data Inputs 2012-15'!H14</f>
        <v>3772971.7264100933</v>
      </c>
      <c r="L63" s="3">
        <f>('[10]DNSP Data Inputs 2012-15'!I14)*L5</f>
        <v>1140296.3844456987</v>
      </c>
      <c r="M63" s="3">
        <f>('[10]DNSP Data Inputs 2012-15'!J14)*M5</f>
        <v>490249.01082534617</v>
      </c>
      <c r="N63" s="1">
        <f t="shared" si="10"/>
        <v>8778563.2163395509</v>
      </c>
    </row>
    <row r="64" spans="1:16" x14ac:dyDescent="0.25">
      <c r="B64" s="23" t="str">
        <f t="shared" si="9"/>
        <v>Other</v>
      </c>
      <c r="C64" s="23"/>
      <c r="D64" s="3">
        <f>'[6]Data 2006-08'!D87</f>
        <v>0</v>
      </c>
      <c r="E64" s="3">
        <f>'[6]Data 2006-08'!E87</f>
        <v>1051789</v>
      </c>
      <c r="F64" s="3">
        <f>'[6]Data 2006-08'!F87</f>
        <v>12918736.560000001</v>
      </c>
      <c r="G64" s="3">
        <f>'[6]Data 2009-11'!D15</f>
        <v>30147880.21572838</v>
      </c>
      <c r="H64" s="3">
        <f>'[6]Data 2009-11'!E15</f>
        <v>20836177</v>
      </c>
      <c r="I64" s="3">
        <f>'[6]Data 2009-11'!F15</f>
        <v>6750617</v>
      </c>
      <c r="J64" s="3">
        <f>'[10]DNSP Data Inputs 2012-15'!G15</f>
        <v>2752519.5332875773</v>
      </c>
      <c r="K64" s="3">
        <f>'[10]DNSP Data Inputs 2012-15'!H15</f>
        <v>-764837.9640153466</v>
      </c>
      <c r="L64" s="3">
        <f>('[10]DNSP Data Inputs 2012-15'!I15)*L5</f>
        <v>0</v>
      </c>
      <c r="M64" s="3">
        <f>('[10]DNSP Data Inputs 2012-15'!J15)*M5</f>
        <v>0</v>
      </c>
      <c r="N64" s="1">
        <f t="shared" si="10"/>
        <v>73692881.34500061</v>
      </c>
    </row>
    <row r="65" spans="2:16" x14ac:dyDescent="0.25">
      <c r="B65" s="94" t="str">
        <f t="shared" si="9"/>
        <v>Total</v>
      </c>
      <c r="C65" s="94"/>
      <c r="D65" s="18">
        <f>'[6]Data 2006-08'!D88</f>
        <v>0</v>
      </c>
      <c r="E65" s="18">
        <f>'[6]Data 2006-08'!E88</f>
        <v>1051789</v>
      </c>
      <c r="F65" s="18">
        <f>'[6]Data 2006-08'!F88</f>
        <v>15824063</v>
      </c>
      <c r="G65" s="18">
        <f>'[6]Data 2009-11'!D16</f>
        <v>64435549.380000003</v>
      </c>
      <c r="H65" s="18">
        <f>'[6]Data 2009-11'!E16</f>
        <v>39645685</v>
      </c>
      <c r="I65" s="18">
        <f>'[6]Data 2009-11'!F16</f>
        <v>29062665.933934443</v>
      </c>
      <c r="J65" s="18">
        <f>'[10]DNSP Data Inputs 2012-15'!G$16</f>
        <v>29495614.459826529</v>
      </c>
      <c r="K65" s="18">
        <f>'[10]DNSP Data Inputs 2012-15'!H$16</f>
        <v>40403514.789802656</v>
      </c>
      <c r="L65" s="18">
        <f>('[10]DNSP Data Inputs 2012-15'!I$16)*L5</f>
        <v>9935683.4814211857</v>
      </c>
      <c r="M65" s="18">
        <f>('[10]DNSP Data Inputs 2012-15'!J$16)*M5</f>
        <v>5066496.6750934068</v>
      </c>
      <c r="N65" s="10">
        <f t="shared" si="10"/>
        <v>234921061.72007823</v>
      </c>
      <c r="O65" s="33"/>
      <c r="P65" s="36"/>
    </row>
    <row r="66" spans="2:16" x14ac:dyDescent="0.25">
      <c r="B66" s="23"/>
      <c r="C66" s="23"/>
      <c r="D66" s="39"/>
      <c r="E66" s="39"/>
      <c r="F66" s="39"/>
      <c r="G66" s="39"/>
      <c r="H66" s="39"/>
      <c r="I66" s="39"/>
      <c r="J66" s="39"/>
      <c r="K66" s="39"/>
      <c r="L66" s="39"/>
      <c r="M66" s="39"/>
    </row>
  </sheetData>
  <mergeCells count="1">
    <mergeCell ref="L6:M6"/>
  </mergeCells>
  <pageMargins left="0.70866141732283472" right="0.70866141732283472" top="0.74803149606299213" bottom="0.74803149606299213" header="0.31496062992125984" footer="0.31496062992125984"/>
  <pageSetup paperSize="8" scale="10" orientation="landscape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AMI Charges Applications Data</vt:lpstr>
      <vt:lpstr>2014 Benchmarking</vt:lpstr>
      <vt:lpstr>Benchmarking</vt:lpstr>
      <vt:lpstr>Capex</vt:lpstr>
      <vt:lpstr>Opex</vt:lpstr>
      <vt:lpstr>Quantities</vt:lpstr>
      <vt:lpstr>Recovery</vt:lpstr>
      <vt:lpstr>Charges</vt:lpstr>
      <vt:lpstr>Capex (2)</vt:lpstr>
      <vt:lpstr>Opex (2)</vt:lpstr>
      <vt:lpstr>Charts - Capex</vt:lpstr>
      <vt:lpstr>Charts - Opex</vt:lpstr>
      <vt:lpstr>Charts - Recovery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Schille, Andrew</cp:lastModifiedBy>
  <cp:lastPrinted>2015-09-14T23:46:30Z</cp:lastPrinted>
  <dcterms:created xsi:type="dcterms:W3CDTF">2013-01-23T23:46:11Z</dcterms:created>
  <dcterms:modified xsi:type="dcterms:W3CDTF">2016-05-16T00:41:42Z</dcterms:modified>
</cp:coreProperties>
</file>